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troduction" sheetId="1" r:id="rId1"/>
    <sheet name="Summary of results" sheetId="2" r:id="rId2"/>
    <sheet name="the model" sheetId="3" r:id="rId3"/>
    <sheet name="data" sheetId="4" r:id="rId4"/>
  </sheets>
  <definedNames>
    <definedName name="a">'the model'!$B$22</definedName>
    <definedName name="b">'the model'!$B$23</definedName>
    <definedName name="cs">'the model'!$B$21</definedName>
    <definedName name="DemandElasticity">'the model'!$B$9</definedName>
    <definedName name="ExportsCIF">'the model'!$B$5</definedName>
    <definedName name="ExportsFOB">'the model'!$B$4</definedName>
    <definedName name="ImportsCIF">'the model'!$B$7</definedName>
    <definedName name="ImportsFOB">'the model'!$B$6</definedName>
    <definedName name="MarketPower">'the model'!$B$11</definedName>
    <definedName name="PC">'the model'!$B$15</definedName>
    <definedName name="PP">'the model'!$B$16</definedName>
    <definedName name="PS">'the model'!$B$17</definedName>
    <definedName name="Q">'the model'!$B$18</definedName>
    <definedName name="SupplyElasticity">'the model'!$B$10</definedName>
    <definedName name="Tariff">'the model'!$B$8</definedName>
    <definedName name="x">'the model'!$B$19</definedName>
    <definedName name="y">'the model'!$B$20</definedName>
  </definedNames>
  <calcPr fullCalcOnLoad="1"/>
</workbook>
</file>

<file path=xl/sharedStrings.xml><?xml version="1.0" encoding="utf-8"?>
<sst xmlns="http://schemas.openxmlformats.org/spreadsheetml/2006/main" count="292" uniqueCount="135">
  <si>
    <t>Tariff rate on exports</t>
  </si>
  <si>
    <t>Point estimate of export demand elasticity</t>
  </si>
  <si>
    <t>Market power index for shipping industry</t>
  </si>
  <si>
    <t>Benchmark Values</t>
  </si>
  <si>
    <t>Calibrated Values</t>
  </si>
  <si>
    <t>constant term in import demand price equation</t>
  </si>
  <si>
    <t>slope of import demand price equation</t>
  </si>
  <si>
    <t>cost rate for shippers</t>
  </si>
  <si>
    <t>constant term in export supply price equation</t>
  </si>
  <si>
    <t>slope of export supply price equation</t>
  </si>
  <si>
    <t>price, inclusive of all margins, is 1.)</t>
  </si>
  <si>
    <t>(note:  for calibration, unit quantities are defined so that the delivered</t>
  </si>
  <si>
    <t>benchmark quantity</t>
  </si>
  <si>
    <t>benchmark consumer price</t>
  </si>
  <si>
    <t>benchmark producer price</t>
  </si>
  <si>
    <t>benchmark shipper price</t>
  </si>
  <si>
    <t xml:space="preserve"> </t>
  </si>
  <si>
    <t>Experiments</t>
  </si>
  <si>
    <t>original</t>
  </si>
  <si>
    <t>counter-factual</t>
  </si>
  <si>
    <t>Value of exports f.o.b. basis</t>
  </si>
  <si>
    <t>Value of exports c.i.f. basis</t>
  </si>
  <si>
    <t>Cost of shipping</t>
  </si>
  <si>
    <t>consumer prices</t>
  </si>
  <si>
    <t>producer prices</t>
  </si>
  <si>
    <t>shipper prices</t>
  </si>
  <si>
    <t>quantity</t>
  </si>
  <si>
    <t>GDP</t>
  </si>
  <si>
    <t>Point estimate of export supply elasticity</t>
  </si>
  <si>
    <t>A model of exports with an oligopolistic shipping sector</t>
  </si>
  <si>
    <t>change</t>
  </si>
  <si>
    <t>Real income percent change</t>
  </si>
  <si>
    <t>This spreadhsheet provides a simple computational model of trade in a model</t>
  </si>
  <si>
    <t>where shipping, on the export sector, can be characterized as imperfectly</t>
  </si>
  <si>
    <t>The next tab provides a basic summary of results from experiments, while the</t>
  </si>
  <si>
    <t>third tab of this notebook provides the model itself.  Three types of experiments</t>
  </si>
  <si>
    <t>are possible</t>
  </si>
  <si>
    <t>(1)  a change in the degree of competition in the shipping sector</t>
  </si>
  <si>
    <t>(2)  a change in the cost of shipping (from efficiency or other effects distinct from</t>
  </si>
  <si>
    <t xml:space="preserve">      experiment (1).</t>
  </si>
  <si>
    <t>(3)  a change in tariffs</t>
  </si>
  <si>
    <t>Data</t>
  </si>
  <si>
    <t>1 SSAFRICA</t>
  </si>
  <si>
    <t>2 SASIA</t>
  </si>
  <si>
    <t>3 LAMERICA</t>
  </si>
  <si>
    <t>4 ROW</t>
  </si>
  <si>
    <t>Total</t>
  </si>
  <si>
    <t>1 fact</t>
  </si>
  <si>
    <t>2 tax</t>
  </si>
  <si>
    <t>3 depr</t>
  </si>
  <si>
    <t>Model data -- thousands of 1995 dollars</t>
  </si>
  <si>
    <t>1 food</t>
  </si>
  <si>
    <t>2 mnfc</t>
  </si>
  <si>
    <t>3 serv</t>
  </si>
  <si>
    <t>SSAfrica Exports</t>
  </si>
  <si>
    <t>cif</t>
  </si>
  <si>
    <t>SAsia Exports</t>
  </si>
  <si>
    <t>Lamerica Exports</t>
  </si>
  <si>
    <t>fob</t>
  </si>
  <si>
    <t>post-UR tariffs (in dollars) on exports by destination</t>
  </si>
  <si>
    <t>Shipping margin</t>
  </si>
  <si>
    <t>Finally, the data used in the Francois and Wooton paper are on the last tab.</t>
  </si>
  <si>
    <t>Index (base=1.00)</t>
  </si>
  <si>
    <t>variables to change</t>
  </si>
  <si>
    <t>results</t>
  </si>
  <si>
    <t>Equivalent variation</t>
  </si>
  <si>
    <t>SSAFRICA</t>
  </si>
  <si>
    <t>SASIA</t>
  </si>
  <si>
    <t>LAMERICA</t>
  </si>
  <si>
    <t>GDP (thousands of dollars)</t>
  </si>
  <si>
    <t>Base</t>
  </si>
  <si>
    <t>Counter-factual</t>
  </si>
  <si>
    <t>Price of shipping (percent margin)</t>
  </si>
  <si>
    <t>Cost of shipping (percent margin)</t>
  </si>
  <si>
    <t>National income</t>
  </si>
  <si>
    <t>Shipping markups</t>
  </si>
  <si>
    <t>National income change</t>
  </si>
  <si>
    <t>Export prices</t>
  </si>
  <si>
    <t>ROW Exports</t>
  </si>
  <si>
    <t>Value of imports f.o.b basis</t>
  </si>
  <si>
    <t>Value of imports c.i.f. basis</t>
  </si>
  <si>
    <t>Export tax equivalent of shipping margins</t>
  </si>
  <si>
    <t>Value of imports f.o.b. basis</t>
  </si>
  <si>
    <t>Export tax equivalent of shipping margin</t>
  </si>
  <si>
    <t>competitive.  The underlying theory follows from Francois and Wooton (1999)</t>
  </si>
  <si>
    <t>"Trade Liberalization with Imperfectly Competitive Shipping."</t>
  </si>
  <si>
    <t>Calibration check</t>
  </si>
  <si>
    <t>calculated</t>
  </si>
  <si>
    <t>Pc</t>
  </si>
  <si>
    <t>Pp</t>
  </si>
  <si>
    <t>Ps</t>
  </si>
  <si>
    <t>Q</t>
  </si>
  <si>
    <t>Export tax equivalent on sipping</t>
  </si>
  <si>
    <t>actual</t>
  </si>
  <si>
    <t>(when Market Power=0)</t>
  </si>
  <si>
    <t xml:space="preserve">   (0=perfect competition,  1=perfect collusion or monopoly)</t>
  </si>
  <si>
    <t>The basic idea is that the shipping industry effectively transforms exports into</t>
  </si>
  <si>
    <t>imports at the dock.  This is implemented here is a two traded-good model.</t>
  </si>
  <si>
    <t>The shippers have market power, and so drive a wedge between the two countries</t>
  </si>
  <si>
    <t>involved in this set of transactions.  In general equilibirum, the relevant wedge for</t>
  </si>
  <si>
    <t>the exporter is the sum of import and export shipping/freight charges, as the</t>
  </si>
  <si>
    <t>sum of these effects the rate of transformation between exports and imports.</t>
  </si>
  <si>
    <t>The income effect of full 100 pecent reduction on tariffs in export markets</t>
  </si>
  <si>
    <t>Sub-Saharan and Southern Africa</t>
  </si>
  <si>
    <t>Latin America</t>
  </si>
  <si>
    <t>South Asia</t>
  </si>
  <si>
    <t>(share of 1995 GDP)</t>
  </si>
  <si>
    <t>Tariff rate in exports markets</t>
  </si>
  <si>
    <t>Demand elasticity for exports (point estimate)</t>
  </si>
  <si>
    <t>Export supply elasticity (point estimate)</t>
  </si>
  <si>
    <t>note: trade and GDP data are taken from the GTAP version 4 dataset.</t>
  </si>
  <si>
    <t>source: Authors' estimates.</t>
  </si>
  <si>
    <t>Trade and Income (values in millions of 1995 dollars)</t>
  </si>
  <si>
    <t>exports as a share of GDP</t>
  </si>
  <si>
    <t>A:</t>
  </si>
  <si>
    <t>B:</t>
  </si>
  <si>
    <t>C:</t>
  </si>
  <si>
    <t>D=A*B</t>
  </si>
  <si>
    <t>E=(0.5)*B*C*A</t>
  </si>
  <si>
    <t>F=D+E</t>
  </si>
  <si>
    <r>
      <t xml:space="preserve">  (this is the </t>
    </r>
    <r>
      <rPr>
        <b/>
        <sz val="10"/>
        <color indexed="10"/>
        <rFont val="Arial"/>
        <family val="2"/>
      </rPr>
      <t>welfare rectangle</t>
    </r>
    <r>
      <rPr>
        <sz val="10"/>
        <rFont val="Arial"/>
        <family val="0"/>
      </rPr>
      <t>)</t>
    </r>
  </si>
  <si>
    <t>1) exports as a share of GDP valued at producer prices</t>
  </si>
  <si>
    <t>2) increase in export price</t>
  </si>
  <si>
    <t>3) increase in exports</t>
  </si>
  <si>
    <t>4) increase in export earnings as a share of GDP</t>
  </si>
  <si>
    <r>
      <t>5) additional gains from increased exports (</t>
    </r>
    <r>
      <rPr>
        <b/>
        <sz val="10"/>
        <color indexed="10"/>
        <rFont val="Arial"/>
        <family val="2"/>
      </rPr>
      <t>welfare triangle</t>
    </r>
    <r>
      <rPr>
        <sz val="10"/>
        <rFont val="Arial"/>
        <family val="0"/>
      </rPr>
      <t>)</t>
    </r>
  </si>
  <si>
    <t>6) TOTAL</t>
  </si>
  <si>
    <t>Decomposition of welfare effects as a share of GDP</t>
  </si>
  <si>
    <t>tariffs on exports as a share of GDP</t>
  </si>
  <si>
    <t>n=4</t>
  </si>
  <si>
    <t>n=5</t>
  </si>
  <si>
    <t>n=10</t>
  </si>
  <si>
    <t>n=inf.</t>
  </si>
  <si>
    <t>n=2</t>
  </si>
  <si>
    <t>Inverse Index of competition (# of firms)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</si>
</sst>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6"/>
      <name val="Arial"/>
      <family val="2"/>
    </font>
    <font>
      <sz val="9.5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164" fontId="0" fillId="0" borderId="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2" borderId="0" xfId="0" applyNumberFormat="1" applyFill="1" applyBorder="1" applyAlignment="1" applyProtection="1">
      <alignment/>
      <protection locked="0"/>
    </xf>
    <xf numFmtId="164" fontId="0" fillId="0" borderId="12" xfId="0" applyNumberFormat="1" applyBorder="1" applyAlignment="1">
      <alignment/>
    </xf>
    <xf numFmtId="164" fontId="0" fillId="2" borderId="2" xfId="0" applyNumberFormat="1" applyFill="1" applyBorder="1" applyAlignment="1" applyProtection="1">
      <alignment/>
      <protection locked="0"/>
    </xf>
    <xf numFmtId="164" fontId="0" fillId="0" borderId="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17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5" fillId="0" borderId="5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0" xfId="0" applyFont="1" applyAlignment="1">
      <alignment/>
    </xf>
    <xf numFmtId="0" fontId="9" fillId="0" borderId="22" xfId="0" applyFont="1" applyBorder="1" applyAlignment="1">
      <alignment horizontal="right" wrapText="1"/>
    </xf>
    <xf numFmtId="0" fontId="9" fillId="0" borderId="23" xfId="0" applyFont="1" applyBorder="1" applyAlignment="1">
      <alignment horizontal="right" wrapText="1"/>
    </xf>
    <xf numFmtId="164" fontId="9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3" xfId="0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2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'Summary of results'!$F$18</c:f>
              <c:strCache>
                <c:ptCount val="1"/>
                <c:pt idx="0">
                  <c:v>Shipping markups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results'!$G$17:$H$17</c:f>
              <c:strCache>
                <c:ptCount val="2"/>
                <c:pt idx="0">
                  <c:v>Base</c:v>
                </c:pt>
                <c:pt idx="1">
                  <c:v>Counter-factual</c:v>
                </c:pt>
              </c:strCache>
            </c:strRef>
          </c:cat>
          <c:val>
            <c:numRef>
              <c:f>'Summary of results'!$G$18:$H$18</c:f>
              <c:numCache>
                <c:ptCount val="2"/>
                <c:pt idx="0">
                  <c:v>1.536211414106295</c:v>
                </c:pt>
                <c:pt idx="1">
                  <c:v>1.6666620778784496</c:v>
                </c:pt>
              </c:numCache>
            </c:numRef>
          </c:val>
          <c:shape val="box"/>
        </c:ser>
        <c:shape val="box"/>
        <c:axId val="20133279"/>
        <c:axId val="46994180"/>
      </c:bar3DChart>
      <c:catAx>
        <c:axId val="20133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994180"/>
        <c:crosses val="autoZero"/>
        <c:auto val="1"/>
        <c:lblOffset val="100"/>
        <c:noMultiLvlLbl val="0"/>
      </c:catAx>
      <c:valAx>
        <c:axId val="46994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332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'Summary of results'!$F$37</c:f>
              <c:strCache>
                <c:ptCount val="1"/>
                <c:pt idx="0">
                  <c:v>Export prices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results'!$G$36:$H$36</c:f>
              <c:strCache>
                <c:ptCount val="2"/>
                <c:pt idx="0">
                  <c:v>Base</c:v>
                </c:pt>
                <c:pt idx="1">
                  <c:v>Counter-factual</c:v>
                </c:pt>
              </c:strCache>
            </c:strRef>
          </c:cat>
          <c:val>
            <c:numRef>
              <c:f>'Summary of results'!$G$37:$H$37</c:f>
              <c:numCache>
                <c:ptCount val="2"/>
                <c:pt idx="0">
                  <c:v>0.8638400735850398</c:v>
                </c:pt>
                <c:pt idx="1">
                  <c:v>0.934172277993602</c:v>
                </c:pt>
              </c:numCache>
            </c:numRef>
          </c:val>
          <c:shape val="box"/>
        </c:ser>
        <c:shape val="box"/>
        <c:axId val="20653941"/>
        <c:axId val="62093378"/>
      </c:bar3DChart>
      <c:catAx>
        <c:axId val="2065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093378"/>
        <c:crosses val="autoZero"/>
        <c:auto val="1"/>
        <c:lblOffset val="100"/>
        <c:noMultiLvlLbl val="0"/>
      </c:catAx>
      <c:valAx>
        <c:axId val="6209337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539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152400</xdr:rowOff>
    </xdr:from>
    <xdr:to>
      <xdr:col>10</xdr:col>
      <xdr:colOff>209550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4019550" y="152400"/>
        <a:ext cx="45624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19</xdr:row>
      <xdr:rowOff>142875</xdr:rowOff>
    </xdr:from>
    <xdr:to>
      <xdr:col>10</xdr:col>
      <xdr:colOff>228600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4019550" y="3505200"/>
        <a:ext cx="45815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I6" sqref="I6"/>
    </sheetView>
  </sheetViews>
  <sheetFormatPr defaultColWidth="9.140625" defaultRowHeight="12.75"/>
  <sheetData>
    <row r="1" ht="15.75">
      <c r="A1" s="3" t="s">
        <v>29</v>
      </c>
    </row>
    <row r="4" ht="12.75">
      <c r="A4" t="s">
        <v>32</v>
      </c>
    </row>
    <row r="5" ht="12.75">
      <c r="A5" t="s">
        <v>33</v>
      </c>
    </row>
    <row r="6" ht="12.75">
      <c r="A6" t="s">
        <v>84</v>
      </c>
    </row>
    <row r="7" ht="12.75">
      <c r="A7" t="s">
        <v>85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7" ht="12.75">
      <c r="A17" t="s">
        <v>61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7"/>
  <sheetViews>
    <sheetView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40.00390625" style="0" customWidth="1"/>
    <col min="6" max="6" width="19.8515625" style="0" customWidth="1"/>
  </cols>
  <sheetData>
    <row r="2" spans="2:4" ht="25.5">
      <c r="B2" s="26" t="s">
        <v>41</v>
      </c>
      <c r="C2" s="26" t="s">
        <v>70</v>
      </c>
      <c r="D2" s="43" t="s">
        <v>71</v>
      </c>
    </row>
    <row r="3" spans="2:4" ht="12.75">
      <c r="B3" s="17" t="s">
        <v>74</v>
      </c>
      <c r="C3">
        <f>'the model'!B3</f>
        <v>1374401.6</v>
      </c>
      <c r="D3">
        <f>'the model'!C41</f>
        <v>1387706.739091279</v>
      </c>
    </row>
    <row r="4" spans="2:4" ht="12.75">
      <c r="B4" s="4" t="s">
        <v>20</v>
      </c>
      <c r="C4">
        <f>'the model'!B4</f>
        <v>143037.3</v>
      </c>
      <c r="D4">
        <f>'the model'!C37*'the model'!C39</f>
        <v>198762.1357530873</v>
      </c>
    </row>
    <row r="5" spans="2:4" ht="12.75">
      <c r="B5" s="4" t="s">
        <v>21</v>
      </c>
      <c r="C5">
        <f>'the model'!B5</f>
        <v>150832.9</v>
      </c>
      <c r="D5">
        <f>'the model'!C38*'the model'!C39</f>
        <v>218831.29260054292</v>
      </c>
    </row>
    <row r="6" spans="2:4" ht="12.75">
      <c r="B6" s="4" t="s">
        <v>0</v>
      </c>
      <c r="C6">
        <f>'the model'!B8</f>
        <v>0.05176655756138084</v>
      </c>
      <c r="D6">
        <f>'the model'!C31</f>
        <v>0</v>
      </c>
    </row>
    <row r="7" spans="2:4" ht="12.75">
      <c r="B7" s="4" t="s">
        <v>1</v>
      </c>
      <c r="C7">
        <f>'the model'!B9</f>
        <v>-10</v>
      </c>
      <c r="D7">
        <f>C7</f>
        <v>-10</v>
      </c>
    </row>
    <row r="8" spans="2:4" ht="12.75">
      <c r="B8" s="4" t="s">
        <v>28</v>
      </c>
      <c r="C8">
        <f>'the model'!B10</f>
        <v>3.5</v>
      </c>
      <c r="D8">
        <f>C8</f>
        <v>3.5</v>
      </c>
    </row>
    <row r="9" spans="2:4" ht="12.75">
      <c r="B9" s="4" t="s">
        <v>2</v>
      </c>
      <c r="C9">
        <f>'the model'!B11</f>
        <v>0.2</v>
      </c>
      <c r="D9">
        <f>'the model'!C32</f>
        <v>0.2</v>
      </c>
    </row>
    <row r="10" spans="2:4" ht="12.75">
      <c r="B10" t="s">
        <v>72</v>
      </c>
      <c r="C10">
        <f>('the model'!B38-'the model'!B37)/'the model'!B37</f>
        <v>0.10064507649403341</v>
      </c>
      <c r="D10">
        <f>('the model'!C38-'the model'!C37)/'the model'!C37</f>
        <v>0.10097072448641124</v>
      </c>
    </row>
    <row r="11" spans="2:4" ht="12.75">
      <c r="B11" t="s">
        <v>73</v>
      </c>
      <c r="C11">
        <f>cs/PP</f>
        <v>0.06551512088105699</v>
      </c>
      <c r="D11">
        <f>'the model'!C33/'the model'!C37</f>
        <v>0.06058260149228348</v>
      </c>
    </row>
    <row r="12" spans="2:4" ht="12.75">
      <c r="B12" s="4" t="s">
        <v>75</v>
      </c>
      <c r="C12" s="4">
        <f>C10/C11</f>
        <v>1.536211414106295</v>
      </c>
      <c r="D12" s="4">
        <f>D10/D11</f>
        <v>1.6666620778784496</v>
      </c>
    </row>
    <row r="13" spans="2:4" ht="12.75">
      <c r="B13" s="6" t="s">
        <v>76</v>
      </c>
      <c r="C13" s="6" t="s">
        <v>16</v>
      </c>
      <c r="D13" s="6">
        <f>'the model'!E42</f>
        <v>13305.139091278892</v>
      </c>
    </row>
    <row r="17" spans="6:8" ht="22.5">
      <c r="F17" s="41"/>
      <c r="G17" s="44" t="s">
        <v>70</v>
      </c>
      <c r="H17" s="39" t="s">
        <v>71</v>
      </c>
    </row>
    <row r="18" spans="6:8" ht="12.75">
      <c r="F18" s="41" t="str">
        <f>B12</f>
        <v>Shipping markups</v>
      </c>
      <c r="G18" s="41">
        <f>C12</f>
        <v>1.536211414106295</v>
      </c>
      <c r="H18" s="41">
        <f>D12</f>
        <v>1.6666620778784496</v>
      </c>
    </row>
    <row r="36" spans="6:8" ht="22.5">
      <c r="F36" s="41"/>
      <c r="G36" s="44" t="s">
        <v>70</v>
      </c>
      <c r="H36" s="39" t="s">
        <v>71</v>
      </c>
    </row>
    <row r="37" spans="6:8" ht="12.75">
      <c r="F37" s="41" t="s">
        <v>77</v>
      </c>
      <c r="G37" s="41">
        <f>'the model'!B37</f>
        <v>0.8638400735850398</v>
      </c>
      <c r="H37" s="41">
        <f>'the model'!C37</f>
        <v>0.934172277993602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54"/>
  <sheetViews>
    <sheetView workbookViewId="0" topLeftCell="A1">
      <selection activeCell="A4" sqref="A4"/>
    </sheetView>
  </sheetViews>
  <sheetFormatPr defaultColWidth="9.140625" defaultRowHeight="12.75"/>
  <cols>
    <col min="2" max="2" width="11.00390625" style="0" customWidth="1"/>
    <col min="3" max="3" width="10.7109375" style="0" customWidth="1"/>
    <col min="4" max="4" width="9.28125" style="0" bestFit="1" customWidth="1"/>
    <col min="23" max="27" width="11.7109375" style="0" customWidth="1"/>
    <col min="34" max="36" width="20.7109375" style="0" customWidth="1"/>
  </cols>
  <sheetData>
    <row r="2" spans="3:29" ht="16.5" thickBot="1">
      <c r="C2" s="1" t="s">
        <v>3</v>
      </c>
      <c r="K2" s="42" t="s">
        <v>66</v>
      </c>
      <c r="L2" s="42" t="s">
        <v>67</v>
      </c>
      <c r="M2" s="42" t="s">
        <v>68</v>
      </c>
      <c r="AC2" s="3" t="s">
        <v>112</v>
      </c>
    </row>
    <row r="3" spans="1:36" ht="31.5" customHeight="1">
      <c r="A3" s="4"/>
      <c r="B3" s="18">
        <v>1374401.6</v>
      </c>
      <c r="C3" s="10" t="s">
        <v>69</v>
      </c>
      <c r="D3" s="9"/>
      <c r="E3" s="9"/>
      <c r="F3" s="9"/>
      <c r="G3" s="9"/>
      <c r="H3" s="9"/>
      <c r="I3" s="11"/>
      <c r="K3">
        <f>data!A39</f>
        <v>319716.5</v>
      </c>
      <c r="L3">
        <f>data!B39</f>
        <v>434024.4</v>
      </c>
      <c r="M3">
        <f>data!C39</f>
        <v>1374401.6</v>
      </c>
      <c r="N3" s="2" t="s">
        <v>27</v>
      </c>
      <c r="AC3" s="53"/>
      <c r="AD3" s="53"/>
      <c r="AE3" s="53"/>
      <c r="AF3" s="53"/>
      <c r="AG3" s="53"/>
      <c r="AH3" s="54" t="s">
        <v>103</v>
      </c>
      <c r="AI3" s="54" t="s">
        <v>104</v>
      </c>
      <c r="AJ3" s="55" t="s">
        <v>105</v>
      </c>
    </row>
    <row r="4" spans="1:36" ht="15">
      <c r="A4" s="4"/>
      <c r="B4" s="19">
        <v>143037.3</v>
      </c>
      <c r="C4" s="4" t="s">
        <v>20</v>
      </c>
      <c r="D4" s="4"/>
      <c r="E4" s="4"/>
      <c r="F4" s="4"/>
      <c r="G4" s="4"/>
      <c r="H4" s="4"/>
      <c r="I4" s="13"/>
      <c r="K4">
        <f>data!A40</f>
        <v>75295.1</v>
      </c>
      <c r="L4">
        <f>data!B40</f>
        <v>55460.1</v>
      </c>
      <c r="M4">
        <f>data!C40</f>
        <v>143037.3</v>
      </c>
      <c r="N4" t="s">
        <v>20</v>
      </c>
      <c r="AC4" s="53" t="s">
        <v>27</v>
      </c>
      <c r="AD4" s="53"/>
      <c r="AE4" s="53"/>
      <c r="AF4" s="53"/>
      <c r="AG4" s="53"/>
      <c r="AH4" s="53">
        <v>319716.5</v>
      </c>
      <c r="AI4" s="53">
        <v>1374401.6</v>
      </c>
      <c r="AJ4" s="53">
        <v>434024.4</v>
      </c>
    </row>
    <row r="5" spans="1:36" ht="15">
      <c r="A5" s="4"/>
      <c r="B5" s="19">
        <v>150832.9</v>
      </c>
      <c r="C5" s="4" t="s">
        <v>21</v>
      </c>
      <c r="D5" s="4"/>
      <c r="E5" s="4"/>
      <c r="F5" s="4"/>
      <c r="G5" s="4"/>
      <c r="H5" s="4"/>
      <c r="I5" s="13"/>
      <c r="K5">
        <f>data!A41</f>
        <v>79669.1</v>
      </c>
      <c r="L5">
        <f>data!B41</f>
        <v>58072.4</v>
      </c>
      <c r="M5">
        <f>data!C41</f>
        <v>150832.9</v>
      </c>
      <c r="N5" t="s">
        <v>21</v>
      </c>
      <c r="AC5" s="53" t="s">
        <v>20</v>
      </c>
      <c r="AD5" s="53"/>
      <c r="AE5" s="53"/>
      <c r="AF5" s="53"/>
      <c r="AG5" s="53"/>
      <c r="AH5" s="53">
        <v>75295.1</v>
      </c>
      <c r="AI5" s="53">
        <v>143037.3</v>
      </c>
      <c r="AJ5" s="53">
        <v>55460.1</v>
      </c>
    </row>
    <row r="6" spans="1:36" ht="15">
      <c r="A6" s="4"/>
      <c r="B6" s="19">
        <v>163355.2</v>
      </c>
      <c r="C6" s="4" t="s">
        <v>82</v>
      </c>
      <c r="D6" s="4"/>
      <c r="E6" s="4"/>
      <c r="F6" s="4"/>
      <c r="G6" s="4"/>
      <c r="H6" s="4"/>
      <c r="I6" s="13"/>
      <c r="K6">
        <f>data!A44</f>
        <v>75761.3</v>
      </c>
      <c r="L6">
        <f>data!B44</f>
        <v>62727.799999999996</v>
      </c>
      <c r="M6">
        <f>data!C44</f>
        <v>163355.2</v>
      </c>
      <c r="N6" t="str">
        <f>data!D44</f>
        <v>Value of imports f.o.b basis</v>
      </c>
      <c r="AC6" s="53" t="s">
        <v>21</v>
      </c>
      <c r="AD6" s="53"/>
      <c r="AE6" s="53"/>
      <c r="AF6" s="53"/>
      <c r="AG6" s="53"/>
      <c r="AH6" s="53">
        <v>79669.1</v>
      </c>
      <c r="AI6" s="53">
        <v>150832.9</v>
      </c>
      <c r="AJ6" s="53">
        <v>58072.4</v>
      </c>
    </row>
    <row r="7" spans="1:36" ht="15">
      <c r="A7" s="4"/>
      <c r="B7" s="19">
        <v>169955.6</v>
      </c>
      <c r="C7" s="4" t="s">
        <v>80</v>
      </c>
      <c r="D7" s="4"/>
      <c r="E7" s="4"/>
      <c r="F7" s="4"/>
      <c r="G7" s="4"/>
      <c r="H7" s="4"/>
      <c r="I7" s="13"/>
      <c r="K7">
        <f>data!A45</f>
        <v>78603.9</v>
      </c>
      <c r="L7">
        <f>data!B45</f>
        <v>65156.600000000006</v>
      </c>
      <c r="M7">
        <f>data!C45</f>
        <v>169955.6</v>
      </c>
      <c r="N7" t="str">
        <f>data!D45</f>
        <v>Value of imports c.i.f. basis</v>
      </c>
      <c r="AC7" s="53" t="s">
        <v>79</v>
      </c>
      <c r="AD7" s="53"/>
      <c r="AE7" s="53"/>
      <c r="AF7" s="53"/>
      <c r="AG7" s="53"/>
      <c r="AH7" s="53">
        <v>75761.3</v>
      </c>
      <c r="AI7" s="53">
        <v>163355.2</v>
      </c>
      <c r="AJ7" s="53">
        <v>62727.8</v>
      </c>
    </row>
    <row r="8" spans="1:36" ht="15">
      <c r="A8" s="4"/>
      <c r="B8" s="19">
        <v>0.05176655756138084</v>
      </c>
      <c r="C8" s="4" t="s">
        <v>0</v>
      </c>
      <c r="D8" s="4"/>
      <c r="E8" s="4"/>
      <c r="F8" s="4"/>
      <c r="G8" s="4"/>
      <c r="H8" s="4"/>
      <c r="I8" s="13"/>
      <c r="K8">
        <f>data!A42</f>
        <v>0.0494934673543444</v>
      </c>
      <c r="L8">
        <f>data!B42</f>
        <v>0.06429215944235127</v>
      </c>
      <c r="M8">
        <f>data!C42</f>
        <v>0.05176655756138084</v>
      </c>
      <c r="N8" t="s">
        <v>0</v>
      </c>
      <c r="AC8" s="53" t="s">
        <v>80</v>
      </c>
      <c r="AD8" s="53"/>
      <c r="AE8" s="53"/>
      <c r="AF8" s="53"/>
      <c r="AG8" s="53"/>
      <c r="AH8" s="53">
        <v>78603.9</v>
      </c>
      <c r="AI8" s="53">
        <v>169955.6</v>
      </c>
      <c r="AJ8" s="53">
        <v>65156.6</v>
      </c>
    </row>
    <row r="9" spans="1:36" ht="15">
      <c r="A9" s="4"/>
      <c r="B9" s="19">
        <v>-10</v>
      </c>
      <c r="C9" s="4" t="s">
        <v>1</v>
      </c>
      <c r="D9" s="4"/>
      <c r="E9" s="4"/>
      <c r="F9" s="4"/>
      <c r="G9" s="4"/>
      <c r="H9" s="4"/>
      <c r="I9" s="13"/>
      <c r="K9">
        <f>data!A43</f>
        <v>0.05809142958837965</v>
      </c>
      <c r="L9">
        <f>data!B43</f>
        <v>0.04710233122551166</v>
      </c>
      <c r="M9">
        <f>data!C43</f>
        <v>0.054500469457966494</v>
      </c>
      <c r="N9" t="s">
        <v>60</v>
      </c>
      <c r="AC9" s="53" t="s">
        <v>107</v>
      </c>
      <c r="AD9" s="53"/>
      <c r="AE9" s="53"/>
      <c r="AF9" s="53"/>
      <c r="AG9" s="53"/>
      <c r="AH9" s="56">
        <v>0.0494934673543444</v>
      </c>
      <c r="AI9" s="56">
        <v>0.05176655756138084</v>
      </c>
      <c r="AJ9" s="56">
        <v>0.06429215944235127</v>
      </c>
    </row>
    <row r="10" spans="1:36" ht="15">
      <c r="A10" s="4"/>
      <c r="B10" s="19">
        <v>3.5</v>
      </c>
      <c r="C10" s="4" t="s">
        <v>28</v>
      </c>
      <c r="D10" s="4"/>
      <c r="E10" s="4"/>
      <c r="F10" s="4"/>
      <c r="G10" s="4"/>
      <c r="H10" s="4"/>
      <c r="I10" s="13"/>
      <c r="K10">
        <f>data!A47</f>
        <v>0.09584421828246448</v>
      </c>
      <c r="L10">
        <f>data!B47</f>
        <v>0.09089597746848659</v>
      </c>
      <c r="M10">
        <f>data!C47</f>
        <v>0.10064507649403338</v>
      </c>
      <c r="N10" t="s">
        <v>83</v>
      </c>
      <c r="AC10" s="53" t="s">
        <v>81</v>
      </c>
      <c r="AD10" s="53"/>
      <c r="AE10" s="53"/>
      <c r="AF10" s="53"/>
      <c r="AG10" s="53"/>
      <c r="AH10" s="56">
        <v>0.09584421828246448</v>
      </c>
      <c r="AI10" s="56">
        <v>0.10064507649403338</v>
      </c>
      <c r="AJ10" s="56">
        <v>0.09089597746848659</v>
      </c>
    </row>
    <row r="11" spans="1:36" ht="15">
      <c r="A11" s="4"/>
      <c r="B11" s="19">
        <v>0.2</v>
      </c>
      <c r="C11" s="4" t="s">
        <v>2</v>
      </c>
      <c r="D11" s="4"/>
      <c r="E11" s="4"/>
      <c r="F11" s="4"/>
      <c r="G11" s="4"/>
      <c r="H11" s="4"/>
      <c r="I11" s="13"/>
      <c r="AC11" s="53" t="s">
        <v>108</v>
      </c>
      <c r="AD11" s="53"/>
      <c r="AE11" s="53"/>
      <c r="AF11" s="53"/>
      <c r="AG11" s="53"/>
      <c r="AH11" s="53">
        <v>-5</v>
      </c>
      <c r="AI11" s="53">
        <v>-5</v>
      </c>
      <c r="AJ11" s="53">
        <v>-5</v>
      </c>
    </row>
    <row r="12" spans="1:36" ht="15.75" thickBot="1">
      <c r="A12" s="4"/>
      <c r="B12" s="14" t="s">
        <v>16</v>
      </c>
      <c r="C12" s="15" t="s">
        <v>95</v>
      </c>
      <c r="D12" s="15"/>
      <c r="E12" s="15"/>
      <c r="F12" s="15"/>
      <c r="G12" s="15"/>
      <c r="H12" s="15"/>
      <c r="I12" s="16"/>
      <c r="K12">
        <f>K4/K3</f>
        <v>0.23550583094710473</v>
      </c>
      <c r="L12">
        <f>L4/L3</f>
        <v>0.12778106484335902</v>
      </c>
      <c r="M12">
        <f>M4/M3</f>
        <v>0.1040724195897327</v>
      </c>
      <c r="N12" t="s">
        <v>113</v>
      </c>
      <c r="AC12" s="53" t="s">
        <v>109</v>
      </c>
      <c r="AD12" s="53"/>
      <c r="AE12" s="53"/>
      <c r="AF12" s="53"/>
      <c r="AG12" s="53"/>
      <c r="AH12" s="57">
        <v>3.5</v>
      </c>
      <c r="AI12" s="57">
        <v>3.5</v>
      </c>
      <c r="AJ12" s="57">
        <v>3.5</v>
      </c>
    </row>
    <row r="13" spans="2:36" ht="15">
      <c r="B13" t="s">
        <v>16</v>
      </c>
      <c r="K13">
        <f>K8*K12</f>
        <v>0.01165600015573828</v>
      </c>
      <c r="L13">
        <f>L8*L12</f>
        <v>0.008215320594622664</v>
      </c>
      <c r="M13">
        <f>M8*M12</f>
        <v>0.005387470899244078</v>
      </c>
      <c r="N13" t="s">
        <v>128</v>
      </c>
      <c r="AC13" s="53"/>
      <c r="AD13" s="53"/>
      <c r="AE13" s="53"/>
      <c r="AF13" s="53"/>
      <c r="AG13" s="53"/>
      <c r="AH13" s="53"/>
      <c r="AI13" s="53"/>
      <c r="AJ13" s="53"/>
    </row>
    <row r="14" spans="3:36" ht="15.75" thickBot="1">
      <c r="C14" s="1" t="s">
        <v>4</v>
      </c>
      <c r="AC14" s="53" t="s">
        <v>110</v>
      </c>
      <c r="AD14" s="53"/>
      <c r="AE14" s="53"/>
      <c r="AF14" s="53"/>
      <c r="AG14" s="53"/>
      <c r="AH14" s="53"/>
      <c r="AI14" s="53"/>
      <c r="AJ14" s="53"/>
    </row>
    <row r="15" spans="2:9" ht="12.75">
      <c r="B15" s="8">
        <v>1</v>
      </c>
      <c r="C15" s="9" t="s">
        <v>13</v>
      </c>
      <c r="D15" s="9"/>
      <c r="E15" s="9"/>
      <c r="F15" s="9"/>
      <c r="G15" s="9"/>
      <c r="H15" s="9"/>
      <c r="I15" s="11"/>
    </row>
    <row r="16" spans="2:12" ht="12.75">
      <c r="B16" s="12">
        <f>ExportsFOB/(ExportsCIF+(ImportsCIF-ImportsFOB))*PS</f>
        <v>0.8638400735850398</v>
      </c>
      <c r="C16" s="4" t="s">
        <v>14</v>
      </c>
      <c r="D16" s="4"/>
      <c r="E16" s="4"/>
      <c r="F16" s="4"/>
      <c r="G16" s="4"/>
      <c r="H16" s="4"/>
      <c r="I16" s="13"/>
      <c r="L16" t="s">
        <v>86</v>
      </c>
    </row>
    <row r="17" spans="2:13" ht="12.75">
      <c r="B17" s="12">
        <f>PC/(1+Tariff)</f>
        <v>0.9507813238696176</v>
      </c>
      <c r="C17" s="4" t="s">
        <v>15</v>
      </c>
      <c r="D17" s="4"/>
      <c r="E17" s="4"/>
      <c r="F17" s="4"/>
      <c r="G17" s="4"/>
      <c r="H17" s="4"/>
      <c r="I17" s="13"/>
      <c r="L17" s="49" t="s">
        <v>87</v>
      </c>
      <c r="M17" s="50" t="s">
        <v>93</v>
      </c>
    </row>
    <row r="18" spans="2:27" ht="15.75">
      <c r="B18" s="12">
        <f>(1+Tariff)*(ExportsCIF+(ImportsCIF-ImportsFOB))</f>
        <v>165583.07998652812</v>
      </c>
      <c r="C18" s="4" t="s">
        <v>12</v>
      </c>
      <c r="D18" s="4"/>
      <c r="E18" s="4"/>
      <c r="F18" s="4"/>
      <c r="G18" s="4"/>
      <c r="H18" s="4"/>
      <c r="I18" s="13"/>
      <c r="L18" s="47">
        <f>(x*(b*(1+MarketPower)*(1+Tariff)+y*MarketPower)+y*(1+Tariff)*(a+cs))/((1+MarketPower)*(b*(1+Tariff)+y))</f>
        <v>0.9999999999999998</v>
      </c>
      <c r="M18" s="51">
        <f>PC</f>
        <v>1</v>
      </c>
      <c r="N18" t="s">
        <v>88</v>
      </c>
      <c r="S18" s="3" t="s">
        <v>102</v>
      </c>
      <c r="T18" s="53"/>
      <c r="U18" s="53"/>
      <c r="V18" s="53"/>
      <c r="W18" s="53"/>
      <c r="X18" s="53"/>
      <c r="Y18" s="53"/>
      <c r="Z18" s="53"/>
      <c r="AA18" s="53"/>
    </row>
    <row r="19" spans="2:27" ht="15.75">
      <c r="B19" s="12">
        <f>PC*(DemandElasticity+1)/DemandElasticity</f>
        <v>0.9</v>
      </c>
      <c r="C19" s="4" t="s">
        <v>5</v>
      </c>
      <c r="D19" s="4"/>
      <c r="E19" s="4"/>
      <c r="F19" s="4"/>
      <c r="G19" s="4"/>
      <c r="H19" s="4"/>
      <c r="I19" s="13"/>
      <c r="L19" s="47">
        <f>(b*((1+Tariff)*(a*MarketPower-cs)+x)+a*y*(1+MarketPower))/((1+MarketPower)*(b*(1+Tariff)+y))</f>
        <v>0.8638400735850397</v>
      </c>
      <c r="M19" s="51">
        <f>PP</f>
        <v>0.8638400735850398</v>
      </c>
      <c r="N19" t="s">
        <v>89</v>
      </c>
      <c r="S19" s="3" t="s">
        <v>106</v>
      </c>
      <c r="T19" s="53"/>
      <c r="U19" s="53"/>
      <c r="V19" s="53"/>
      <c r="W19" s="53"/>
      <c r="X19" s="53"/>
      <c r="Y19" s="53"/>
      <c r="Z19" s="53"/>
      <c r="AA19" s="53"/>
    </row>
    <row r="20" spans="2:27" ht="15">
      <c r="B20" s="12">
        <f>PC/(DemandElasticity*Q)</f>
        <v>-6.039264398762E-07</v>
      </c>
      <c r="C20" s="4" t="s">
        <v>6</v>
      </c>
      <c r="D20" s="4"/>
      <c r="E20" s="4"/>
      <c r="F20" s="4"/>
      <c r="G20" s="4"/>
      <c r="H20" s="4"/>
      <c r="I20" s="13"/>
      <c r="L20" s="47">
        <f>x*(b*(1+MarketPower)*(1+Tariff)+y*MarketPower)/((1+MarketPower)*(b*(1+Tariff)+y)*(1+Tariff))+y*(a+cs)/((1+MarketPower)*(b*(1+Tariff)+y))</f>
        <v>0.9507813238696176</v>
      </c>
      <c r="M20" s="51">
        <f>PS</f>
        <v>0.9507813238696176</v>
      </c>
      <c r="N20" t="s">
        <v>90</v>
      </c>
      <c r="S20" s="53"/>
      <c r="T20" s="53"/>
      <c r="U20" s="53"/>
      <c r="V20" s="53"/>
      <c r="W20" s="58" t="s">
        <v>134</v>
      </c>
      <c r="X20" s="59"/>
      <c r="Y20" s="59"/>
      <c r="Z20" s="59"/>
      <c r="AA20" s="60"/>
    </row>
    <row r="21" spans="2:27" ht="15">
      <c r="B21" s="12">
        <f>-(-PC*DemandElasticity*SupplyElasticity-PC*SupplyElasticity+(1+Tariff)*PP*DemandElasticity*SupplyElasticity-PP*(1+Tariff)*DemandElasticity+PP*(1+MarketPower)*(1+Tariff)*DemandElasticity+(1+MarketPower)*PC*SupplyElasticity)/(DemandElasticity*(SupplyElasticity*(1+Tariff)))</f>
        <v>0.05659458684282505</v>
      </c>
      <c r="C21" s="4" t="s">
        <v>7</v>
      </c>
      <c r="D21" s="4"/>
      <c r="E21" s="4"/>
      <c r="F21" s="4"/>
      <c r="G21" s="4"/>
      <c r="H21" s="4"/>
      <c r="I21" s="13"/>
      <c r="L21" s="47">
        <f>(x-(1+Tariff)*(a+cs))/((1+MarketPower)*(b*(1+Tariff)+y))</f>
        <v>165583.07998652812</v>
      </c>
      <c r="M21" s="51">
        <f>Q</f>
        <v>165583.07998652812</v>
      </c>
      <c r="N21" t="s">
        <v>91</v>
      </c>
      <c r="S21" s="53"/>
      <c r="T21" s="53"/>
      <c r="U21" s="53"/>
      <c r="V21" s="53"/>
      <c r="W21" s="61" t="s">
        <v>133</v>
      </c>
      <c r="X21" s="61" t="s">
        <v>129</v>
      </c>
      <c r="Y21" s="61" t="s">
        <v>130</v>
      </c>
      <c r="Z21" s="61" t="s">
        <v>131</v>
      </c>
      <c r="AA21" s="61" t="s">
        <v>132</v>
      </c>
    </row>
    <row r="22" spans="2:27" ht="15">
      <c r="B22" s="12">
        <f>PP*(SupplyElasticity-1)/SupplyElasticity</f>
        <v>0.6170286239893141</v>
      </c>
      <c r="C22" s="4" t="s">
        <v>8</v>
      </c>
      <c r="D22" s="4"/>
      <c r="E22" s="4"/>
      <c r="F22" s="4"/>
      <c r="G22" s="4"/>
      <c r="H22" s="4"/>
      <c r="I22" s="13"/>
      <c r="L22" s="48">
        <f>cs/PP</f>
        <v>0.06551512088105699</v>
      </c>
      <c r="M22" s="52">
        <f>(ExportsCIF+(ImportsCIF-ImportsFOB))/(ExportsFOB)-1</f>
        <v>0.10064507649403343</v>
      </c>
      <c r="N22" t="s">
        <v>92</v>
      </c>
      <c r="S22" s="53" t="s">
        <v>103</v>
      </c>
      <c r="T22" s="53"/>
      <c r="U22" s="53"/>
      <c r="V22" s="53"/>
      <c r="W22" s="53">
        <v>0.0175</v>
      </c>
      <c r="X22" s="53">
        <v>0.0209</v>
      </c>
      <c r="Y22" s="53">
        <v>0.0217</v>
      </c>
      <c r="Z22" s="53">
        <v>0.0237</v>
      </c>
      <c r="AA22" s="53">
        <v>0.0261</v>
      </c>
    </row>
    <row r="23" spans="2:27" ht="15">
      <c r="B23" s="12">
        <f>PP/(SupplyElasticity*Q)</f>
        <v>1.4905596007503079E-06</v>
      </c>
      <c r="C23" s="4" t="s">
        <v>9</v>
      </c>
      <c r="D23" s="4"/>
      <c r="E23" s="4"/>
      <c r="F23" s="4"/>
      <c r="G23" s="4"/>
      <c r="H23" s="4"/>
      <c r="I23" s="13"/>
      <c r="N23" t="s">
        <v>94</v>
      </c>
      <c r="S23" s="53"/>
      <c r="T23" s="53"/>
      <c r="U23" s="53"/>
      <c r="V23" s="53"/>
      <c r="W23" s="53"/>
      <c r="X23" s="53"/>
      <c r="Y23" s="53"/>
      <c r="Z23" s="53"/>
      <c r="AA23" s="53"/>
    </row>
    <row r="24" spans="2:27" ht="15">
      <c r="B24" s="12"/>
      <c r="C24" s="4" t="s">
        <v>11</v>
      </c>
      <c r="D24" s="4"/>
      <c r="E24" s="4"/>
      <c r="F24" s="4"/>
      <c r="G24" s="4"/>
      <c r="H24" s="4"/>
      <c r="I24" s="13"/>
      <c r="S24" s="53" t="s">
        <v>104</v>
      </c>
      <c r="T24" s="53"/>
      <c r="U24" s="53"/>
      <c r="V24" s="53"/>
      <c r="W24" s="53">
        <v>0.0097</v>
      </c>
      <c r="X24" s="53">
        <v>0.0093</v>
      </c>
      <c r="Y24" s="53">
        <v>0.0097</v>
      </c>
      <c r="Z24" s="53">
        <v>0.0106</v>
      </c>
      <c r="AA24" s="53">
        <v>0.0116</v>
      </c>
    </row>
    <row r="25" spans="2:27" ht="15.75" thickBot="1">
      <c r="B25" s="14"/>
      <c r="C25" s="15" t="s">
        <v>10</v>
      </c>
      <c r="D25" s="15"/>
      <c r="E25" s="15"/>
      <c r="F25" s="15"/>
      <c r="G25" s="15"/>
      <c r="H25" s="15"/>
      <c r="I25" s="16"/>
      <c r="S25" s="53"/>
      <c r="T25" s="53"/>
      <c r="U25" s="53"/>
      <c r="V25" s="53"/>
      <c r="W25" s="53"/>
      <c r="X25" s="53"/>
      <c r="Y25" s="53"/>
      <c r="Z25" s="53"/>
      <c r="AA25" s="53"/>
    </row>
    <row r="26" spans="19:27" ht="15">
      <c r="S26" s="53" t="s">
        <v>105</v>
      </c>
      <c r="T26" s="53"/>
      <c r="U26" s="53"/>
      <c r="V26" s="53"/>
      <c r="W26" s="57">
        <v>0.0121</v>
      </c>
      <c r="X26" s="57">
        <v>0.0145</v>
      </c>
      <c r="Y26" s="57">
        <v>0.0151</v>
      </c>
      <c r="Z26" s="57">
        <v>0.0165</v>
      </c>
      <c r="AA26" s="57">
        <v>0.0182</v>
      </c>
    </row>
    <row r="27" spans="3:27" ht="15.75" thickBot="1">
      <c r="C27" s="1" t="s">
        <v>17</v>
      </c>
      <c r="S27" s="53"/>
      <c r="T27" s="53"/>
      <c r="U27" s="53"/>
      <c r="V27" s="53"/>
      <c r="W27" s="53"/>
      <c r="X27" s="53"/>
      <c r="Y27" s="53"/>
      <c r="Z27" s="53"/>
      <c r="AA27" s="53"/>
    </row>
    <row r="28" spans="2:27" ht="15">
      <c r="B28" s="8"/>
      <c r="C28" s="37" t="s">
        <v>63</v>
      </c>
      <c r="D28" s="35"/>
      <c r="E28" s="9"/>
      <c r="F28" s="9"/>
      <c r="G28" s="9"/>
      <c r="H28" s="9"/>
      <c r="I28" s="11"/>
      <c r="S28" s="53" t="s">
        <v>111</v>
      </c>
      <c r="T28" s="53"/>
      <c r="U28" s="53"/>
      <c r="V28" s="53"/>
      <c r="W28" s="53"/>
      <c r="X28" s="53"/>
      <c r="Y28" s="53"/>
      <c r="Z28" s="53"/>
      <c r="AA28" s="53"/>
    </row>
    <row r="29" spans="2:9" ht="33.75">
      <c r="B29" s="38" t="s">
        <v>18</v>
      </c>
      <c r="C29" s="39" t="s">
        <v>19</v>
      </c>
      <c r="D29" s="39" t="s">
        <v>62</v>
      </c>
      <c r="E29" s="40" t="s">
        <v>30</v>
      </c>
      <c r="F29" s="4"/>
      <c r="G29" s="4"/>
      <c r="H29" s="4"/>
      <c r="I29" s="13"/>
    </row>
    <row r="30" spans="2:9" ht="12.75">
      <c r="B30" s="20"/>
      <c r="C30" s="21"/>
      <c r="D30" s="21"/>
      <c r="E30" s="5"/>
      <c r="F30" s="4"/>
      <c r="G30" s="4"/>
      <c r="H30" s="4"/>
      <c r="I30" s="13"/>
    </row>
    <row r="31" spans="2:9" ht="12.75">
      <c r="B31" s="20">
        <f>Tariff</f>
        <v>0.05176655756138084</v>
      </c>
      <c r="C31" s="22">
        <v>0</v>
      </c>
      <c r="D31" s="21"/>
      <c r="E31" s="5"/>
      <c r="F31" s="4" t="s">
        <v>0</v>
      </c>
      <c r="G31" s="4"/>
      <c r="H31" s="4"/>
      <c r="I31" s="13"/>
    </row>
    <row r="32" spans="2:9" ht="12.75">
      <c r="B32" s="20">
        <f>MarketPower</f>
        <v>0.2</v>
      </c>
      <c r="C32" s="22">
        <f>B32</f>
        <v>0.2</v>
      </c>
      <c r="D32" s="21"/>
      <c r="E32" s="5"/>
      <c r="F32" s="4" t="s">
        <v>2</v>
      </c>
      <c r="G32" s="4"/>
      <c r="H32" s="4"/>
      <c r="I32" s="13"/>
    </row>
    <row r="33" spans="2:9" ht="12.75">
      <c r="B33" s="23">
        <f>cs</f>
        <v>0.05659458684282505</v>
      </c>
      <c r="C33" s="24">
        <f>B33</f>
        <v>0.05659458684282505</v>
      </c>
      <c r="D33" s="25"/>
      <c r="E33" s="7"/>
      <c r="F33" s="4" t="s">
        <v>22</v>
      </c>
      <c r="G33" s="4"/>
      <c r="H33" s="4"/>
      <c r="I33" s="13"/>
    </row>
    <row r="34" spans="2:9" ht="12.75">
      <c r="B34" s="20"/>
      <c r="C34" s="36" t="s">
        <v>64</v>
      </c>
      <c r="D34" s="21"/>
      <c r="E34" s="4"/>
      <c r="F34" s="4"/>
      <c r="G34" s="4"/>
      <c r="H34" s="4"/>
      <c r="I34" s="13"/>
    </row>
    <row r="35" spans="2:9" ht="33.75">
      <c r="B35" s="32" t="s">
        <v>18</v>
      </c>
      <c r="C35" s="33" t="s">
        <v>19</v>
      </c>
      <c r="D35" s="33" t="s">
        <v>62</v>
      </c>
      <c r="E35" s="34" t="s">
        <v>30</v>
      </c>
      <c r="F35" s="4"/>
      <c r="G35" s="4"/>
      <c r="H35" s="4"/>
      <c r="I35" s="13"/>
    </row>
    <row r="36" spans="2:9" ht="12.75">
      <c r="B36" s="27">
        <f>PC</f>
        <v>1</v>
      </c>
      <c r="C36" s="28">
        <f>(x*(b*(1+C32)*(1+C31)+y*C32)+y*(1+C31)*(a+C33))/((1+C32)*(b*(1+C31)+y))</f>
        <v>1.0284963296977372</v>
      </c>
      <c r="D36" s="28">
        <f>C36/B36</f>
        <v>1.0284963296977372</v>
      </c>
      <c r="E36" s="29">
        <f>D36-1</f>
        <v>0.02849632969773719</v>
      </c>
      <c r="F36" s="4" t="s">
        <v>23</v>
      </c>
      <c r="G36" s="4"/>
      <c r="H36" s="4"/>
      <c r="I36" s="13"/>
    </row>
    <row r="37" spans="2:9" ht="12.75">
      <c r="B37" s="20">
        <f>PP</f>
        <v>0.8638400735850398</v>
      </c>
      <c r="C37" s="21">
        <f>(b*((1+C31)*(a*C32-C33)+x)+a*y*(1+C32))/((1+C32)*(b*(1+C31)+y))</f>
        <v>0.934172277993602</v>
      </c>
      <c r="D37" s="21">
        <f>C37/B37</f>
        <v>1.0814180848506776</v>
      </c>
      <c r="E37" s="30">
        <f>D37-1</f>
        <v>0.08141808485067759</v>
      </c>
      <c r="F37" s="4" t="s">
        <v>24</v>
      </c>
      <c r="G37" s="4"/>
      <c r="H37" s="4"/>
      <c r="I37" s="13"/>
    </row>
    <row r="38" spans="2:9" ht="12.75">
      <c r="B38" s="20">
        <f>PS</f>
        <v>0.9507813238696176</v>
      </c>
      <c r="C38" s="21">
        <f>x*(b*(1+C32)*(1+C31)+y*C32)/((1+C32)*(b*(1+C31)+y)*(1+C31))+y*(a+C33)/((1+C32)*(b*(1+C31)+y))</f>
        <v>1.0284963296977372</v>
      </c>
      <c r="D38" s="21">
        <f>C38/B38</f>
        <v>1.081738044150704</v>
      </c>
      <c r="E38" s="30">
        <f>D38-1</f>
        <v>0.08173804415070407</v>
      </c>
      <c r="F38" s="4" t="s">
        <v>25</v>
      </c>
      <c r="G38" s="4"/>
      <c r="H38" s="4"/>
      <c r="I38" s="13"/>
    </row>
    <row r="39" spans="2:9" ht="12.75">
      <c r="B39" s="45">
        <f>Q</f>
        <v>165583.07998652812</v>
      </c>
      <c r="C39" s="46">
        <f>(x-(1+C31)*(a+C33))/((1+C32)*(b*(1+C31)+y))</f>
        <v>212768.18038315687</v>
      </c>
      <c r="D39" s="21">
        <f>C39/B39</f>
        <v>1.2849632969773708</v>
      </c>
      <c r="E39" s="30">
        <f>D39-1</f>
        <v>0.2849632969773708</v>
      </c>
      <c r="F39" s="4" t="s">
        <v>26</v>
      </c>
      <c r="G39" s="4"/>
      <c r="H39" s="4"/>
      <c r="I39" s="13"/>
    </row>
    <row r="40" spans="2:9" ht="12.75">
      <c r="B40" s="45"/>
      <c r="C40" s="46"/>
      <c r="D40" s="21"/>
      <c r="E40" s="5"/>
      <c r="F40" s="4"/>
      <c r="G40" s="4"/>
      <c r="H40" s="4"/>
      <c r="I40" s="13"/>
    </row>
    <row r="41" spans="2:9" ht="12.75">
      <c r="B41" s="45">
        <f>B3</f>
        <v>1374401.6</v>
      </c>
      <c r="C41" s="46">
        <f>(C37-B37)*B39+0.5*(C39-B39)*(C37-B37)+B41</f>
        <v>1387706.739091279</v>
      </c>
      <c r="D41" s="21">
        <f>C41/B41</f>
        <v>1.0096806778246468</v>
      </c>
      <c r="E41" s="30">
        <f>D41-1</f>
        <v>0.009680677824646766</v>
      </c>
      <c r="F41" s="4" t="s">
        <v>31</v>
      </c>
      <c r="G41" s="4"/>
      <c r="H41" s="4"/>
      <c r="I41" s="13"/>
    </row>
    <row r="42" spans="2:9" ht="13.5" thickBot="1">
      <c r="B42" s="14"/>
      <c r="C42" s="15"/>
      <c r="D42" s="15"/>
      <c r="E42" s="31">
        <f>C41-B41</f>
        <v>13305.139091278892</v>
      </c>
      <c r="F42" s="15" t="s">
        <v>65</v>
      </c>
      <c r="G42" s="15"/>
      <c r="H42" s="15"/>
      <c r="I42" s="16"/>
    </row>
    <row r="44" ht="12.75">
      <c r="C44" s="62"/>
    </row>
    <row r="46" spans="2:10" ht="12.75">
      <c r="B46" s="65" t="s">
        <v>127</v>
      </c>
      <c r="C46" s="63"/>
      <c r="D46" s="63"/>
      <c r="E46" s="63"/>
      <c r="F46" s="63"/>
      <c r="G46" s="63"/>
      <c r="H46" s="63"/>
      <c r="I46" s="63"/>
      <c r="J46" s="64"/>
    </row>
    <row r="47" spans="2:10" ht="12.75">
      <c r="B47" s="47"/>
      <c r="C47" s="4"/>
      <c r="D47" s="4"/>
      <c r="E47" s="4"/>
      <c r="F47" s="4"/>
      <c r="G47" s="4"/>
      <c r="H47" s="4"/>
      <c r="I47" s="4"/>
      <c r="J47" s="5"/>
    </row>
    <row r="48" spans="2:10" ht="12.75">
      <c r="B48" s="47" t="s">
        <v>121</v>
      </c>
      <c r="C48" s="4"/>
      <c r="D48" s="4"/>
      <c r="E48" s="4"/>
      <c r="F48" s="4"/>
      <c r="G48" s="4"/>
      <c r="H48" s="4" t="s">
        <v>114</v>
      </c>
      <c r="I48" s="4"/>
      <c r="J48" s="5">
        <f>B39/B41*B37</f>
        <v>0.10407241958973269</v>
      </c>
    </row>
    <row r="49" spans="2:10" ht="12.75">
      <c r="B49" s="47" t="s">
        <v>122</v>
      </c>
      <c r="C49" s="4"/>
      <c r="D49" s="4"/>
      <c r="E49" s="4"/>
      <c r="F49" s="4"/>
      <c r="G49" s="4"/>
      <c r="H49" s="4" t="s">
        <v>115</v>
      </c>
      <c r="I49" s="4"/>
      <c r="J49" s="30">
        <f>E37</f>
        <v>0.08141808485067759</v>
      </c>
    </row>
    <row r="50" spans="2:10" ht="12.75">
      <c r="B50" s="47" t="s">
        <v>123</v>
      </c>
      <c r="C50" s="4"/>
      <c r="D50" s="4"/>
      <c r="E50" s="4"/>
      <c r="F50" s="4"/>
      <c r="G50" s="4"/>
      <c r="H50" s="4" t="s">
        <v>116</v>
      </c>
      <c r="I50" s="4"/>
      <c r="J50" s="30">
        <f>E39</f>
        <v>0.2849632969773708</v>
      </c>
    </row>
    <row r="51" spans="2:10" ht="12.75">
      <c r="B51" s="47" t="s">
        <v>124</v>
      </c>
      <c r="C51" s="4"/>
      <c r="D51" s="4"/>
      <c r="E51" s="4"/>
      <c r="F51" s="4"/>
      <c r="G51" s="4"/>
      <c r="H51" s="4" t="s">
        <v>117</v>
      </c>
      <c r="I51" s="4"/>
      <c r="J51" s="5">
        <f>J49*J48</f>
        <v>0.008473377088772176</v>
      </c>
    </row>
    <row r="52" spans="2:10" ht="12.75">
      <c r="B52" s="47" t="s">
        <v>120</v>
      </c>
      <c r="C52" s="4"/>
      <c r="D52" s="4"/>
      <c r="E52" s="4"/>
      <c r="F52" s="4"/>
      <c r="G52" s="4"/>
      <c r="H52" s="4"/>
      <c r="I52" s="4"/>
      <c r="J52" s="5"/>
    </row>
    <row r="53" spans="2:10" ht="12.75">
      <c r="B53" s="47" t="s">
        <v>125</v>
      </c>
      <c r="C53" s="4"/>
      <c r="D53" s="4"/>
      <c r="E53" s="4"/>
      <c r="F53" s="4"/>
      <c r="G53" s="4"/>
      <c r="H53" s="4" t="s">
        <v>118</v>
      </c>
      <c r="I53" s="4"/>
      <c r="J53" s="5">
        <f>0.5*J49*J50*J48</f>
        <v>0.0012073007358745175</v>
      </c>
    </row>
    <row r="54" spans="2:10" ht="12.75">
      <c r="B54" s="48" t="s">
        <v>126</v>
      </c>
      <c r="C54" s="6"/>
      <c r="D54" s="6"/>
      <c r="E54" s="6"/>
      <c r="F54" s="6"/>
      <c r="G54" s="6"/>
      <c r="H54" s="6" t="s">
        <v>119</v>
      </c>
      <c r="I54" s="6"/>
      <c r="J54" s="7">
        <f>J51+J53</f>
        <v>0.009680677824646693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8">
      <selection activeCell="B36" sqref="B36"/>
    </sheetView>
  </sheetViews>
  <sheetFormatPr defaultColWidth="9.140625" defaultRowHeight="12.75"/>
  <sheetData>
    <row r="1" ht="12.75">
      <c r="A1" t="s">
        <v>50</v>
      </c>
    </row>
    <row r="4" spans="1:5" ht="12.75">
      <c r="A4" s="1" t="s">
        <v>27</v>
      </c>
      <c r="B4" t="s">
        <v>47</v>
      </c>
      <c r="C4" t="s">
        <v>48</v>
      </c>
      <c r="D4" t="s">
        <v>49</v>
      </c>
      <c r="E4" t="s">
        <v>46</v>
      </c>
    </row>
    <row r="5" spans="1:5" ht="12.75">
      <c r="A5" t="s">
        <v>42</v>
      </c>
      <c r="B5">
        <v>243151.2</v>
      </c>
      <c r="C5">
        <v>36746.1</v>
      </c>
      <c r="D5">
        <v>39819.2</v>
      </c>
      <c r="E5">
        <v>319716.5</v>
      </c>
    </row>
    <row r="6" spans="1:5" ht="12.75">
      <c r="A6" t="s">
        <v>43</v>
      </c>
      <c r="B6">
        <v>319628.5</v>
      </c>
      <c r="C6">
        <v>75486.9</v>
      </c>
      <c r="D6">
        <v>38909</v>
      </c>
      <c r="E6">
        <v>434024.4</v>
      </c>
    </row>
    <row r="7" spans="1:5" ht="12.75">
      <c r="A7" t="s">
        <v>44</v>
      </c>
      <c r="B7">
        <v>1103985</v>
      </c>
      <c r="C7">
        <v>122417.8</v>
      </c>
      <c r="D7">
        <v>147998.8</v>
      </c>
      <c r="E7">
        <v>1374401.6</v>
      </c>
    </row>
    <row r="8" spans="1:5" ht="12.75">
      <c r="A8" t="s">
        <v>45</v>
      </c>
      <c r="B8">
        <v>20985082</v>
      </c>
      <c r="C8">
        <v>2152832.8</v>
      </c>
      <c r="D8">
        <v>3048267.8</v>
      </c>
      <c r="E8">
        <v>26186182</v>
      </c>
    </row>
    <row r="9" spans="1:5" ht="12.75">
      <c r="A9" t="s">
        <v>46</v>
      </c>
      <c r="B9">
        <v>22651846</v>
      </c>
      <c r="C9">
        <v>2387483.5</v>
      </c>
      <c r="D9">
        <v>3274994.8</v>
      </c>
      <c r="E9">
        <v>28314325.1</v>
      </c>
    </row>
    <row r="11" spans="1:15" ht="12.75">
      <c r="A11" s="1" t="s">
        <v>54</v>
      </c>
      <c r="O11" t="s">
        <v>59</v>
      </c>
    </row>
    <row r="12" spans="1:20" ht="12.75">
      <c r="A12" s="1" t="s">
        <v>58</v>
      </c>
      <c r="B12" t="s">
        <v>42</v>
      </c>
      <c r="C12" t="s">
        <v>43</v>
      </c>
      <c r="D12" t="s">
        <v>44</v>
      </c>
      <c r="E12" t="s">
        <v>45</v>
      </c>
      <c r="F12" t="s">
        <v>46</v>
      </c>
      <c r="H12" s="1" t="s">
        <v>55</v>
      </c>
      <c r="I12" t="s">
        <v>42</v>
      </c>
      <c r="J12" t="s">
        <v>43</v>
      </c>
      <c r="K12" t="s">
        <v>44</v>
      </c>
      <c r="L12" t="s">
        <v>45</v>
      </c>
      <c r="M12" t="s">
        <v>46</v>
      </c>
      <c r="O12" t="s">
        <v>16</v>
      </c>
      <c r="P12" t="s">
        <v>42</v>
      </c>
      <c r="Q12" t="s">
        <v>43</v>
      </c>
      <c r="R12" t="s">
        <v>44</v>
      </c>
      <c r="S12" t="s">
        <v>45</v>
      </c>
      <c r="T12" t="s">
        <v>46</v>
      </c>
    </row>
    <row r="13" spans="1:20" ht="12.75">
      <c r="A13" t="s">
        <v>51</v>
      </c>
      <c r="B13">
        <v>832.2</v>
      </c>
      <c r="C13">
        <v>403.7</v>
      </c>
      <c r="D13">
        <v>171.9</v>
      </c>
      <c r="E13">
        <v>13932.5</v>
      </c>
      <c r="F13">
        <v>15340.3</v>
      </c>
      <c r="H13" t="s">
        <v>51</v>
      </c>
      <c r="I13">
        <v>888.8</v>
      </c>
      <c r="J13">
        <v>427.4</v>
      </c>
      <c r="K13">
        <v>182.7</v>
      </c>
      <c r="L13">
        <v>15039.7</v>
      </c>
      <c r="M13">
        <v>16538.6</v>
      </c>
      <c r="O13" t="s">
        <v>51</v>
      </c>
      <c r="P13">
        <v>44.2</v>
      </c>
      <c r="Q13">
        <v>193.5</v>
      </c>
      <c r="R13">
        <v>12.9</v>
      </c>
      <c r="S13">
        <v>2367.4</v>
      </c>
      <c r="T13">
        <v>2618</v>
      </c>
    </row>
    <row r="14" spans="1:20" ht="12.75">
      <c r="A14" t="s">
        <v>52</v>
      </c>
      <c r="B14">
        <v>3662.6</v>
      </c>
      <c r="C14">
        <v>1080.1</v>
      </c>
      <c r="D14">
        <v>1882.7</v>
      </c>
      <c r="E14">
        <v>46339.4</v>
      </c>
      <c r="F14">
        <v>52964.8</v>
      </c>
      <c r="H14" t="s">
        <v>52</v>
      </c>
      <c r="I14">
        <v>3796.3</v>
      </c>
      <c r="J14">
        <v>1104.6</v>
      </c>
      <c r="K14">
        <v>2013.5</v>
      </c>
      <c r="L14">
        <v>49416.3</v>
      </c>
      <c r="M14">
        <v>56330.8</v>
      </c>
      <c r="O14" t="s">
        <v>52</v>
      </c>
      <c r="P14">
        <v>234.7</v>
      </c>
      <c r="Q14">
        <v>180.7</v>
      </c>
      <c r="R14">
        <v>220.8</v>
      </c>
      <c r="S14">
        <v>963.4</v>
      </c>
      <c r="T14">
        <v>1599.7</v>
      </c>
    </row>
    <row r="15" spans="1:20" ht="12.75">
      <c r="A15" t="s">
        <v>53</v>
      </c>
      <c r="B15">
        <v>269.3</v>
      </c>
      <c r="C15">
        <v>278.6</v>
      </c>
      <c r="D15">
        <v>893.7</v>
      </c>
      <c r="E15">
        <v>10312.6</v>
      </c>
      <c r="F15">
        <v>11754.1</v>
      </c>
      <c r="H15" t="s">
        <v>53</v>
      </c>
      <c r="I15">
        <v>269.3</v>
      </c>
      <c r="J15">
        <v>278.6</v>
      </c>
      <c r="K15">
        <v>893.7</v>
      </c>
      <c r="L15">
        <v>10312.6</v>
      </c>
      <c r="M15">
        <v>11754.1</v>
      </c>
      <c r="O15" t="s">
        <v>53</v>
      </c>
      <c r="P15">
        <v>0</v>
      </c>
      <c r="Q15">
        <v>0</v>
      </c>
      <c r="R15">
        <v>0</v>
      </c>
      <c r="S15">
        <v>4.2</v>
      </c>
      <c r="T15">
        <v>4.2</v>
      </c>
    </row>
    <row r="16" spans="1:20" ht="12.75">
      <c r="A16" t="s">
        <v>46</v>
      </c>
      <c r="B16">
        <v>4764</v>
      </c>
      <c r="C16">
        <v>1762.4</v>
      </c>
      <c r="D16">
        <v>2948.2</v>
      </c>
      <c r="E16">
        <v>70584.5</v>
      </c>
      <c r="F16">
        <v>80059.1</v>
      </c>
      <c r="H16" t="s">
        <v>46</v>
      </c>
      <c r="I16">
        <v>4954.4</v>
      </c>
      <c r="J16">
        <v>1810.6</v>
      </c>
      <c r="K16">
        <v>3089.9</v>
      </c>
      <c r="L16">
        <v>74768.6</v>
      </c>
      <c r="M16">
        <v>84623.5</v>
      </c>
      <c r="O16" t="s">
        <v>46</v>
      </c>
      <c r="P16">
        <v>278.9</v>
      </c>
      <c r="Q16">
        <v>374.3</v>
      </c>
      <c r="R16">
        <v>233.7</v>
      </c>
      <c r="S16">
        <v>3335.1</v>
      </c>
      <c r="T16">
        <v>4221.9</v>
      </c>
    </row>
    <row r="17" ht="12.75">
      <c r="A17" s="1" t="s">
        <v>56</v>
      </c>
    </row>
    <row r="18" spans="1:20" ht="12.75">
      <c r="A18" s="1" t="s">
        <v>58</v>
      </c>
      <c r="B18" t="s">
        <v>42</v>
      </c>
      <c r="C18" t="s">
        <v>43</v>
      </c>
      <c r="D18" t="s">
        <v>44</v>
      </c>
      <c r="E18" t="s">
        <v>45</v>
      </c>
      <c r="F18" t="s">
        <v>46</v>
      </c>
      <c r="H18" s="1" t="s">
        <v>55</v>
      </c>
      <c r="I18" t="s">
        <v>42</v>
      </c>
      <c r="J18" t="s">
        <v>43</v>
      </c>
      <c r="K18" t="s">
        <v>44</v>
      </c>
      <c r="L18" t="s">
        <v>45</v>
      </c>
      <c r="M18" t="s">
        <v>46</v>
      </c>
      <c r="O18" t="s">
        <v>16</v>
      </c>
      <c r="P18" t="s">
        <v>42</v>
      </c>
      <c r="Q18" t="s">
        <v>43</v>
      </c>
      <c r="R18" t="s">
        <v>44</v>
      </c>
      <c r="S18" t="s">
        <v>45</v>
      </c>
      <c r="T18" t="s">
        <v>46</v>
      </c>
    </row>
    <row r="19" spans="1:20" ht="12.75">
      <c r="A19" t="s">
        <v>51</v>
      </c>
      <c r="B19">
        <v>402</v>
      </c>
      <c r="C19">
        <v>760.9</v>
      </c>
      <c r="D19">
        <v>61.7</v>
      </c>
      <c r="E19">
        <v>7157.8</v>
      </c>
      <c r="F19">
        <v>8382.4</v>
      </c>
      <c r="H19" t="s">
        <v>51</v>
      </c>
      <c r="I19">
        <v>458.8</v>
      </c>
      <c r="J19">
        <v>822.8</v>
      </c>
      <c r="K19">
        <v>68.3</v>
      </c>
      <c r="L19">
        <v>7745.6</v>
      </c>
      <c r="M19">
        <v>9095.4</v>
      </c>
      <c r="O19" t="s">
        <v>51</v>
      </c>
      <c r="P19">
        <v>17.7</v>
      </c>
      <c r="Q19">
        <v>155.7</v>
      </c>
      <c r="R19">
        <v>5.1</v>
      </c>
      <c r="S19">
        <v>808.2</v>
      </c>
      <c r="T19">
        <v>986.7</v>
      </c>
    </row>
    <row r="20" spans="1:20" ht="12.75">
      <c r="A20" t="s">
        <v>52</v>
      </c>
      <c r="B20">
        <v>1020.9</v>
      </c>
      <c r="C20">
        <v>1220.4</v>
      </c>
      <c r="D20">
        <v>512</v>
      </c>
      <c r="E20">
        <v>38573.4</v>
      </c>
      <c r="F20">
        <v>41326.6</v>
      </c>
      <c r="H20" t="s">
        <v>52</v>
      </c>
      <c r="I20">
        <v>1067.3</v>
      </c>
      <c r="J20">
        <v>1308.3</v>
      </c>
      <c r="K20">
        <v>540.2</v>
      </c>
      <c r="L20">
        <v>40460</v>
      </c>
      <c r="M20">
        <v>43375.8</v>
      </c>
      <c r="O20" t="s">
        <v>52</v>
      </c>
      <c r="P20">
        <v>94.2</v>
      </c>
      <c r="Q20">
        <v>358.8</v>
      </c>
      <c r="R20">
        <v>65.7</v>
      </c>
      <c r="S20">
        <v>2740.8</v>
      </c>
      <c r="T20">
        <v>3259.5</v>
      </c>
    </row>
    <row r="21" spans="1:20" ht="12.75">
      <c r="A21" t="s">
        <v>53</v>
      </c>
      <c r="B21">
        <v>286.1</v>
      </c>
      <c r="C21">
        <v>156.4</v>
      </c>
      <c r="D21">
        <v>350.3</v>
      </c>
      <c r="E21">
        <v>7095.8</v>
      </c>
      <c r="F21">
        <v>7888.7</v>
      </c>
      <c r="H21" t="s">
        <v>53</v>
      </c>
      <c r="I21">
        <v>286.1</v>
      </c>
      <c r="J21">
        <v>156.4</v>
      </c>
      <c r="K21">
        <v>350.3</v>
      </c>
      <c r="L21">
        <v>7095.8</v>
      </c>
      <c r="M21">
        <v>7888.7</v>
      </c>
      <c r="O21" t="s">
        <v>53</v>
      </c>
      <c r="P21">
        <v>0</v>
      </c>
      <c r="Q21">
        <v>0</v>
      </c>
      <c r="R21">
        <v>0</v>
      </c>
      <c r="S21">
        <v>1.9</v>
      </c>
      <c r="T21">
        <v>1.9</v>
      </c>
    </row>
    <row r="22" spans="1:20" ht="12.75">
      <c r="A22" t="s">
        <v>46</v>
      </c>
      <c r="B22">
        <v>1709</v>
      </c>
      <c r="C22">
        <v>2137.6</v>
      </c>
      <c r="D22">
        <v>924</v>
      </c>
      <c r="E22">
        <v>52827.1</v>
      </c>
      <c r="F22">
        <v>57597.7</v>
      </c>
      <c r="H22" t="s">
        <v>46</v>
      </c>
      <c r="I22">
        <v>1812.2</v>
      </c>
      <c r="J22">
        <v>2287.5</v>
      </c>
      <c r="K22">
        <v>958.8</v>
      </c>
      <c r="L22">
        <v>55301.4</v>
      </c>
      <c r="M22">
        <v>60359.9</v>
      </c>
      <c r="O22" t="s">
        <v>46</v>
      </c>
      <c r="P22">
        <v>111.9</v>
      </c>
      <c r="Q22">
        <v>514.5</v>
      </c>
      <c r="R22">
        <v>70.8</v>
      </c>
      <c r="S22">
        <v>3550.9</v>
      </c>
      <c r="T22">
        <v>4248.2</v>
      </c>
    </row>
    <row r="23" ht="12.75">
      <c r="A23" s="1" t="s">
        <v>57</v>
      </c>
    </row>
    <row r="24" spans="1:20" ht="12.75">
      <c r="A24" s="1" t="s">
        <v>58</v>
      </c>
      <c r="B24" t="s">
        <v>42</v>
      </c>
      <c r="C24" t="s">
        <v>43</v>
      </c>
      <c r="D24" t="s">
        <v>44</v>
      </c>
      <c r="E24" t="s">
        <v>45</v>
      </c>
      <c r="F24" t="s">
        <v>46</v>
      </c>
      <c r="H24" s="1" t="s">
        <v>55</v>
      </c>
      <c r="I24" t="s">
        <v>42</v>
      </c>
      <c r="J24" t="s">
        <v>43</v>
      </c>
      <c r="K24" t="s">
        <v>44</v>
      </c>
      <c r="L24" t="s">
        <v>45</v>
      </c>
      <c r="M24" t="s">
        <v>46</v>
      </c>
      <c r="O24" t="s">
        <v>16</v>
      </c>
      <c r="P24" t="s">
        <v>42</v>
      </c>
      <c r="Q24" t="s">
        <v>43</v>
      </c>
      <c r="R24" t="s">
        <v>44</v>
      </c>
      <c r="S24" t="s">
        <v>45</v>
      </c>
      <c r="T24" t="s">
        <v>46</v>
      </c>
    </row>
    <row r="25" spans="1:20" ht="12.75">
      <c r="A25" t="s">
        <v>51</v>
      </c>
      <c r="B25">
        <v>962.1</v>
      </c>
      <c r="C25">
        <v>950.9</v>
      </c>
      <c r="D25">
        <v>8734.9</v>
      </c>
      <c r="E25">
        <v>39863.5</v>
      </c>
      <c r="F25">
        <v>50511.4</v>
      </c>
      <c r="H25" t="s">
        <v>51</v>
      </c>
      <c r="I25">
        <v>1015.4</v>
      </c>
      <c r="J25">
        <v>992.3</v>
      </c>
      <c r="K25">
        <v>9391</v>
      </c>
      <c r="L25">
        <v>42852.6</v>
      </c>
      <c r="M25">
        <v>54251.4</v>
      </c>
      <c r="O25" t="s">
        <v>51</v>
      </c>
      <c r="P25">
        <v>59.7</v>
      </c>
      <c r="Q25">
        <v>220.6</v>
      </c>
      <c r="R25">
        <v>758.2</v>
      </c>
      <c r="S25">
        <v>4804.8</v>
      </c>
      <c r="T25">
        <v>5843.3</v>
      </c>
    </row>
    <row r="26" spans="1:20" ht="12.75">
      <c r="A26" t="s">
        <v>52</v>
      </c>
      <c r="B26">
        <v>824.1</v>
      </c>
      <c r="C26">
        <v>439.9</v>
      </c>
      <c r="D26">
        <v>31025.9</v>
      </c>
      <c r="E26">
        <v>74014.6</v>
      </c>
      <c r="F26">
        <v>106304.5</v>
      </c>
      <c r="H26" t="s">
        <v>52</v>
      </c>
      <c r="I26">
        <v>865.1</v>
      </c>
      <c r="J26">
        <v>465.2</v>
      </c>
      <c r="K26">
        <v>32683</v>
      </c>
      <c r="L26">
        <v>78659.9</v>
      </c>
      <c r="M26">
        <v>112673.3</v>
      </c>
      <c r="O26" t="s">
        <v>52</v>
      </c>
      <c r="P26">
        <v>67.7</v>
      </c>
      <c r="Q26">
        <v>154.5</v>
      </c>
      <c r="R26">
        <v>3260</v>
      </c>
      <c r="S26">
        <v>2490.3</v>
      </c>
      <c r="T26">
        <v>5972.5</v>
      </c>
    </row>
    <row r="27" spans="1:20" ht="12.75">
      <c r="A27" t="s">
        <v>53</v>
      </c>
      <c r="B27">
        <v>680.7</v>
      </c>
      <c r="C27">
        <v>596.1</v>
      </c>
      <c r="D27">
        <v>3294</v>
      </c>
      <c r="E27">
        <v>24705.5</v>
      </c>
      <c r="F27">
        <v>29276.2</v>
      </c>
      <c r="H27" t="s">
        <v>53</v>
      </c>
      <c r="I27">
        <v>680.7</v>
      </c>
      <c r="J27">
        <v>596.1</v>
      </c>
      <c r="K27">
        <v>3294</v>
      </c>
      <c r="L27">
        <v>24705.5</v>
      </c>
      <c r="M27">
        <v>29276.2</v>
      </c>
      <c r="O27" t="s">
        <v>53</v>
      </c>
      <c r="P27">
        <v>0</v>
      </c>
      <c r="Q27">
        <v>0</v>
      </c>
      <c r="R27">
        <v>0</v>
      </c>
      <c r="S27">
        <v>10.5</v>
      </c>
      <c r="T27">
        <v>10.5</v>
      </c>
    </row>
    <row r="28" spans="1:20" ht="12.75">
      <c r="A28" t="s">
        <v>46</v>
      </c>
      <c r="B28">
        <v>2466.8</v>
      </c>
      <c r="C28">
        <v>1986.8</v>
      </c>
      <c r="D28">
        <v>43054.8</v>
      </c>
      <c r="E28">
        <v>138583.5</v>
      </c>
      <c r="F28">
        <v>186092.1</v>
      </c>
      <c r="H28" t="s">
        <v>46</v>
      </c>
      <c r="I28">
        <v>2561.3</v>
      </c>
      <c r="J28">
        <v>2053.7</v>
      </c>
      <c r="K28">
        <v>45368</v>
      </c>
      <c r="L28">
        <v>146218</v>
      </c>
      <c r="M28">
        <v>196200.9</v>
      </c>
      <c r="O28" t="s">
        <v>46</v>
      </c>
      <c r="P28">
        <v>127.4</v>
      </c>
      <c r="Q28">
        <v>375.2</v>
      </c>
      <c r="R28">
        <v>4018.2</v>
      </c>
      <c r="S28">
        <v>7305.5</v>
      </c>
      <c r="T28">
        <v>11826.3</v>
      </c>
    </row>
    <row r="30" ht="12.75">
      <c r="A30" s="1" t="s">
        <v>78</v>
      </c>
    </row>
    <row r="31" spans="1:20" ht="12.75">
      <c r="A31" s="1" t="s">
        <v>58</v>
      </c>
      <c r="B31" t="s">
        <v>42</v>
      </c>
      <c r="C31" t="s">
        <v>43</v>
      </c>
      <c r="D31" t="s">
        <v>44</v>
      </c>
      <c r="E31" t="s">
        <v>45</v>
      </c>
      <c r="F31" t="s">
        <v>46</v>
      </c>
      <c r="H31" s="1" t="s">
        <v>55</v>
      </c>
      <c r="I31" t="s">
        <v>42</v>
      </c>
      <c r="J31" t="s">
        <v>43</v>
      </c>
      <c r="K31" t="s">
        <v>44</v>
      </c>
      <c r="L31" t="s">
        <v>45</v>
      </c>
      <c r="M31" t="s">
        <v>46</v>
      </c>
      <c r="O31" t="s">
        <v>16</v>
      </c>
      <c r="P31" t="s">
        <v>42</v>
      </c>
      <c r="Q31" t="s">
        <v>43</v>
      </c>
      <c r="R31" t="s">
        <v>44</v>
      </c>
      <c r="S31" t="s">
        <v>45</v>
      </c>
      <c r="T31" t="s">
        <v>46</v>
      </c>
    </row>
    <row r="32" spans="1:20" ht="12.75">
      <c r="A32" t="s">
        <v>51</v>
      </c>
      <c r="B32">
        <v>5705.2</v>
      </c>
      <c r="C32">
        <v>4326.8</v>
      </c>
      <c r="D32">
        <v>10362.9</v>
      </c>
      <c r="E32">
        <v>369329.1</v>
      </c>
      <c r="F32">
        <v>389724</v>
      </c>
      <c r="H32" t="s">
        <v>51</v>
      </c>
      <c r="I32">
        <v>6104.9</v>
      </c>
      <c r="J32">
        <v>4634</v>
      </c>
      <c r="K32">
        <v>11028.3</v>
      </c>
      <c r="L32">
        <v>391991</v>
      </c>
      <c r="M32">
        <v>413758.2</v>
      </c>
      <c r="O32" t="s">
        <v>51</v>
      </c>
      <c r="P32">
        <v>689.3</v>
      </c>
      <c r="Q32">
        <v>1693.9</v>
      </c>
      <c r="R32">
        <v>524.3</v>
      </c>
      <c r="S32">
        <v>61126.2</v>
      </c>
      <c r="T32">
        <v>64033.8</v>
      </c>
    </row>
    <row r="33" spans="1:20" ht="12.75">
      <c r="A33" t="s">
        <v>52</v>
      </c>
      <c r="B33">
        <v>51597.6</v>
      </c>
      <c r="C33">
        <v>46286.4</v>
      </c>
      <c r="D33">
        <v>117375.4</v>
      </c>
      <c r="E33">
        <v>3759111.3</v>
      </c>
      <c r="F33">
        <v>3974370.5</v>
      </c>
      <c r="H33" t="s">
        <v>52</v>
      </c>
      <c r="I33">
        <v>53842.9</v>
      </c>
      <c r="J33">
        <v>48292.9</v>
      </c>
      <c r="K33">
        <v>123133.8</v>
      </c>
      <c r="L33">
        <v>3935890.5</v>
      </c>
      <c r="M33">
        <v>4161160</v>
      </c>
      <c r="O33" t="s">
        <v>52</v>
      </c>
      <c r="P33">
        <v>4379.7</v>
      </c>
      <c r="Q33">
        <v>12618.8</v>
      </c>
      <c r="R33">
        <v>14743.4</v>
      </c>
      <c r="S33">
        <v>155026</v>
      </c>
      <c r="T33">
        <v>186767.9</v>
      </c>
    </row>
    <row r="34" spans="1:20" ht="12.75">
      <c r="A34" t="s">
        <v>53</v>
      </c>
      <c r="B34">
        <v>14282.7</v>
      </c>
      <c r="C34">
        <v>8365.4</v>
      </c>
      <c r="D34">
        <v>31744.8</v>
      </c>
      <c r="E34">
        <v>920086.8</v>
      </c>
      <c r="F34">
        <v>974479.6</v>
      </c>
      <c r="H34" t="s">
        <v>53</v>
      </c>
      <c r="I34">
        <v>14282.7</v>
      </c>
      <c r="J34">
        <v>8365.4</v>
      </c>
      <c r="K34">
        <v>31744.8</v>
      </c>
      <c r="L34">
        <v>920086.8</v>
      </c>
      <c r="M34">
        <v>974479.6</v>
      </c>
      <c r="O34" t="s">
        <v>53</v>
      </c>
      <c r="P34">
        <v>0</v>
      </c>
      <c r="Q34">
        <v>0</v>
      </c>
      <c r="R34">
        <v>0</v>
      </c>
      <c r="S34">
        <v>598.4</v>
      </c>
      <c r="T34">
        <v>598.4</v>
      </c>
    </row>
    <row r="35" spans="1:20" ht="12.75">
      <c r="A35" t="s">
        <v>46</v>
      </c>
      <c r="B35">
        <v>71585.5</v>
      </c>
      <c r="C35">
        <v>58978.6</v>
      </c>
      <c r="D35">
        <v>159483</v>
      </c>
      <c r="E35">
        <v>5048527</v>
      </c>
      <c r="F35">
        <v>5338574.2</v>
      </c>
      <c r="H35" t="s">
        <v>46</v>
      </c>
      <c r="I35">
        <v>74230.4</v>
      </c>
      <c r="J35">
        <v>61292.3</v>
      </c>
      <c r="K35">
        <v>165906.9</v>
      </c>
      <c r="L35">
        <v>5247968.5</v>
      </c>
      <c r="M35">
        <v>5549397.9</v>
      </c>
      <c r="O35" t="s">
        <v>46</v>
      </c>
      <c r="P35">
        <v>5069.1</v>
      </c>
      <c r="Q35">
        <v>14312.8</v>
      </c>
      <c r="R35">
        <v>15267.7</v>
      </c>
      <c r="S35">
        <v>216750.6</v>
      </c>
      <c r="T35">
        <v>251400.2</v>
      </c>
    </row>
    <row r="38" spans="1:3" ht="12.75">
      <c r="A38" s="42" t="s">
        <v>66</v>
      </c>
      <c r="B38" s="42" t="s">
        <v>67</v>
      </c>
      <c r="C38" s="42" t="s">
        <v>68</v>
      </c>
    </row>
    <row r="39" spans="1:4" ht="12.75">
      <c r="A39">
        <f>E5</f>
        <v>319716.5</v>
      </c>
      <c r="B39">
        <f>E6</f>
        <v>434024.4</v>
      </c>
      <c r="C39">
        <f>E7</f>
        <v>1374401.6</v>
      </c>
      <c r="D39" s="2" t="s">
        <v>27</v>
      </c>
    </row>
    <row r="40" spans="1:4" ht="12.75">
      <c r="A40">
        <f>F16-B16</f>
        <v>75295.1</v>
      </c>
      <c r="B40">
        <f>F22-C22</f>
        <v>55460.1</v>
      </c>
      <c r="C40">
        <f>F28-D28</f>
        <v>143037.3</v>
      </c>
      <c r="D40" t="s">
        <v>20</v>
      </c>
    </row>
    <row r="41" spans="1:4" ht="12.75">
      <c r="A41">
        <f>M16-I16</f>
        <v>79669.1</v>
      </c>
      <c r="B41">
        <f>M22-J22</f>
        <v>58072.4</v>
      </c>
      <c r="C41">
        <f>M28-K28</f>
        <v>150832.9</v>
      </c>
      <c r="D41" t="s">
        <v>21</v>
      </c>
    </row>
    <row r="42" spans="1:4" ht="12.75">
      <c r="A42">
        <f>SUM(Q16:S16)/A41</f>
        <v>0.0494934673543444</v>
      </c>
      <c r="B42">
        <f>SUM(P22,R22:S22)/B41</f>
        <v>0.06429215944235127</v>
      </c>
      <c r="C42">
        <f>SUM(P28:Q28,S28)/C41</f>
        <v>0.05176655756138084</v>
      </c>
      <c r="D42" t="s">
        <v>0</v>
      </c>
    </row>
    <row r="43" spans="1:4" ht="12.75">
      <c r="A43">
        <f>A41/A40-1</f>
        <v>0.05809142958837965</v>
      </c>
      <c r="B43">
        <f>B41/B40-1</f>
        <v>0.04710233122551166</v>
      </c>
      <c r="C43">
        <f>C41/C40-1</f>
        <v>0.054500469457966494</v>
      </c>
      <c r="D43" t="s">
        <v>60</v>
      </c>
    </row>
    <row r="44" spans="1:4" ht="12.75">
      <c r="A44">
        <f>SUM(B22,B28,B35)</f>
        <v>75761.3</v>
      </c>
      <c r="B44">
        <f>SUM(C16,C28,C35)</f>
        <v>62727.799999999996</v>
      </c>
      <c r="C44">
        <f>SUM(D16,D22,D35)</f>
        <v>163355.2</v>
      </c>
      <c r="D44" t="s">
        <v>79</v>
      </c>
    </row>
    <row r="45" spans="1:4" ht="12.75">
      <c r="A45">
        <f>SUM(I22,I28,I35)</f>
        <v>78603.9</v>
      </c>
      <c r="B45">
        <f>SUM(J16,J28,J35)</f>
        <v>65156.600000000006</v>
      </c>
      <c r="C45">
        <f>SUM(K16,K22,K35)</f>
        <v>169955.6</v>
      </c>
      <c r="D45" t="s">
        <v>80</v>
      </c>
    </row>
    <row r="46" spans="1:4" ht="12.75">
      <c r="A46">
        <f>A45/A44-1</f>
        <v>0.03752047549342463</v>
      </c>
      <c r="B46">
        <f>B45/B44-1</f>
        <v>0.03871967453027225</v>
      </c>
      <c r="C46">
        <f>C45/C44-1</f>
        <v>0.04040520289528571</v>
      </c>
      <c r="D46" t="s">
        <v>60</v>
      </c>
    </row>
    <row r="47" spans="1:4" ht="12.75">
      <c r="A47">
        <f>(A45-A44+A41-A40)/A40</f>
        <v>0.09584421828246448</v>
      </c>
      <c r="B47">
        <f>(B45-B44+B41-B40)/B40</f>
        <v>0.09089597746848659</v>
      </c>
      <c r="C47">
        <f>(C45-C44+C41-C40)/C40</f>
        <v>0.10064507649403338</v>
      </c>
      <c r="D47" t="s">
        <v>81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Sitchting IIDE -- Erasmus University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1999-05-05T12:27:34Z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