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9720" windowHeight="6540" activeTab="0"/>
  </bookViews>
  <sheets>
    <sheet name="Description" sheetId="1" r:id="rId1"/>
    <sheet name="Comparison Tables" sheetId="2" r:id="rId2"/>
    <sheet name="Perfect Substitutes Model" sheetId="3" r:id="rId3"/>
  </sheets>
  <definedNames>
    <definedName name="solver_adj" localSheetId="2" hidden="1">'Perfect Substitutes Model'!$B$31,'Perfect Substitutes Model'!$B$34</definedName>
    <definedName name="solver_cvg" localSheetId="2" hidden="1">0.00001</definedName>
    <definedName name="solver_drv" localSheetId="2" hidden="1">1</definedName>
    <definedName name="solver_est" localSheetId="2" hidden="1">0</definedName>
    <definedName name="solver_itr" localSheetId="2" hidden="1">200</definedName>
    <definedName name="solver_lhs1" localSheetId="2" hidden="1">'Perfect Substitutes Model'!$C$35</definedName>
    <definedName name="solver_lin" localSheetId="2" hidden="1">2</definedName>
    <definedName name="solver_neg" localSheetId="2" hidden="1">2</definedName>
    <definedName name="solver_num" localSheetId="2" hidden="1">1</definedName>
    <definedName name="solver_nwt" localSheetId="2" hidden="1">1</definedName>
    <definedName name="solver_opt" localSheetId="2" hidden="1">'Perfect Substitutes Model'!$C$32</definedName>
    <definedName name="solver_pre" localSheetId="2" hidden="1">0.000001</definedName>
    <definedName name="solver_rel1" localSheetId="2" hidden="1">2</definedName>
    <definedName name="solver_rhs1" localSheetId="2" hidden="1">0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0.00001</definedName>
    <definedName name="solver_typ" localSheetId="2" hidden="1">3</definedName>
    <definedName name="solver_val" localSheetId="2" hidden="1">0</definedName>
  </definedNames>
  <calcPr fullCalcOnLoad="1"/>
</workbook>
</file>

<file path=xl/sharedStrings.xml><?xml version="1.0" encoding="utf-8"?>
<sst xmlns="http://schemas.openxmlformats.org/spreadsheetml/2006/main" count="77" uniqueCount="70">
  <si>
    <t>Excel-based non-linear and linear perfect substitutes model</t>
  </si>
  <si>
    <t>This notebook presents a perfect substitutes model (on the tab</t>
  </si>
  <si>
    <t>perfect substitutes model") that is solved as both a linearized and</t>
  </si>
  <si>
    <t>a non-linear problem.</t>
  </si>
  <si>
    <t>The system of equations are solved using the Excel solver,</t>
  </si>
  <si>
    <t>with one of the equation cells specified as the target cell, and the others</t>
  </si>
  <si>
    <t>as constraints.  All are to be solved for zero values (as they are excess demand</t>
  </si>
  <si>
    <t>equations).  You may need to adjust the solver options settings (convergence</t>
  </si>
  <si>
    <t>tolerance etc.) if you have trouble obtaining a solution.  Default values for the</t>
  </si>
  <si>
    <t>solver have already been set.</t>
  </si>
  <si>
    <t>The theory for this spreadsheet is reported in Francois and Hall, "Partial</t>
  </si>
  <si>
    <t>Equilibrium Modeling," Chapter 5 in J.F. Francois and K.A. Reinert, eds.,</t>
  </si>
  <si>
    <r>
      <t>Applied Methods for Trade Policy Analysis:  A Handbook</t>
    </r>
    <r>
      <rPr>
        <sz val="12"/>
        <rFont val="Arial"/>
        <family val="2"/>
      </rPr>
      <t xml:space="preserve">, Cambridge </t>
    </r>
  </si>
  <si>
    <t>University Press, 1997.</t>
  </si>
  <si>
    <t>Welfare effects</t>
  </si>
  <si>
    <t>Linearized</t>
  </si>
  <si>
    <t>Nonlinear</t>
  </si>
  <si>
    <t>welfare triangle</t>
  </si>
  <si>
    <t>terms-of-trade effects</t>
  </si>
  <si>
    <t>quota rent transfers</t>
  </si>
  <si>
    <t>Total</t>
  </si>
  <si>
    <t>Inputs</t>
  </si>
  <si>
    <t>Perfect substitutes model</t>
  </si>
  <si>
    <t>note:  use "solver", under the "Tools" menu.  Solver settings have been set.</t>
  </si>
  <si>
    <t xml:space="preserve"> </t>
  </si>
  <si>
    <t xml:space="preserve">     Benchmark sales of the domestic industry</t>
  </si>
  <si>
    <t xml:space="preserve">     Benchmark total sales (domestic origin and imported)</t>
  </si>
  <si>
    <t xml:space="preserve">     Es:  Elasticity of domestic supply</t>
  </si>
  <si>
    <t xml:space="preserve">     Ed:  Elasticity of demand</t>
  </si>
  <si>
    <t xml:space="preserve">     Ems:  Elasticity of import supply</t>
  </si>
  <si>
    <t xml:space="preserve">     Initial tariff</t>
  </si>
  <si>
    <t xml:space="preserve">     New tariff</t>
  </si>
  <si>
    <t xml:space="preserve">     Initial foreign-held quota price wedge</t>
  </si>
  <si>
    <t xml:space="preserve">     Final foreign-held quota price wedge</t>
  </si>
  <si>
    <t>Calibrated values</t>
  </si>
  <si>
    <t>Ks : domestic supply constant term</t>
  </si>
  <si>
    <t>Kd:  total demand constant term</t>
  </si>
  <si>
    <t>Kms: import supply constant term</t>
  </si>
  <si>
    <t>Kmd: import demand constant term</t>
  </si>
  <si>
    <t>Md:  Import demand</t>
  </si>
  <si>
    <t>Emd: elasticity of import demand</t>
  </si>
  <si>
    <t>Counterfactual equilibrium price</t>
  </si>
  <si>
    <t>Linear domestic price solution:</t>
  </si>
  <si>
    <t>Non-linear domestic price solution</t>
  </si>
  <si>
    <t>non-linear optimization constraint (excess supply)</t>
  </si>
  <si>
    <t>Free trade price (linear)</t>
  </si>
  <si>
    <t>Free-trade price (nonlinear)</t>
  </si>
  <si>
    <t>non-linear free trade constraint</t>
  </si>
  <si>
    <t>Welfare and Output Comparisons</t>
  </si>
  <si>
    <t>linear</t>
  </si>
  <si>
    <t>nonlinear</t>
  </si>
  <si>
    <t>National income effects: old regime</t>
  </si>
  <si>
    <t xml:space="preserve">     welfare triangle</t>
  </si>
  <si>
    <t xml:space="preserve">     terms-of-trade effect</t>
  </si>
  <si>
    <t xml:space="preserve">     quota rent transfers</t>
  </si>
  <si>
    <t xml:space="preserve">     Total national income effect</t>
  </si>
  <si>
    <t>National income effects: new regime</t>
  </si>
  <si>
    <t>NET EFFECT</t>
  </si>
  <si>
    <t>percent change in border price of imports</t>
  </si>
  <si>
    <t>percent change in internal price</t>
  </si>
  <si>
    <t>percent change in imports</t>
  </si>
  <si>
    <t>percent change in domestic output</t>
  </si>
  <si>
    <t>old tariff revenues</t>
  </si>
  <si>
    <t>new tariff revenues</t>
  </si>
  <si>
    <t>New Values</t>
  </si>
  <si>
    <t>Domestic Sales</t>
  </si>
  <si>
    <t>Total Sales</t>
  </si>
  <si>
    <t>copyright 1997-2006 JFF.</t>
  </si>
  <si>
    <t>Windows95 and Office97 versions of Excel.  Last revised February 2006.</t>
  </si>
  <si>
    <t>This spreadsheet was originally written by Joseph Francois, October 1997, for the</t>
  </si>
</sst>
</file>

<file path=xl/styles.xml><?xml version="1.0" encoding="utf-8"?>
<styleSheet xmlns="http://schemas.openxmlformats.org/spreadsheetml/2006/main">
  <numFmts count="1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E+00"/>
    <numFmt numFmtId="173" formatCode="0.000"/>
  </numFmts>
  <fonts count="14">
    <font>
      <sz val="10"/>
      <name val="Arial"/>
      <family val="0"/>
    </font>
    <font>
      <sz val="12"/>
      <name val="Tms Rmn"/>
      <family val="0"/>
    </font>
    <font>
      <b/>
      <sz val="14"/>
      <name val="Tms Rmn"/>
      <family val="0"/>
    </font>
    <font>
      <b/>
      <sz val="18"/>
      <name val="Tms Rmn"/>
      <family val="0"/>
    </font>
    <font>
      <b/>
      <sz val="12"/>
      <name val="Tms Rmn"/>
      <family val="0"/>
    </font>
    <font>
      <sz val="12"/>
      <name val="Arial"/>
      <family val="2"/>
    </font>
    <font>
      <sz val="10"/>
      <name val="Symbol"/>
      <family val="1"/>
    </font>
    <font>
      <sz val="8"/>
      <name val="Arial"/>
      <family val="2"/>
    </font>
    <font>
      <b/>
      <sz val="14"/>
      <color indexed="18"/>
      <name val="Arial"/>
      <family val="2"/>
    </font>
    <font>
      <b/>
      <sz val="8"/>
      <color indexed="10"/>
      <name val="Tms Rmn"/>
      <family val="0"/>
    </font>
    <font>
      <b/>
      <sz val="10"/>
      <color indexed="10"/>
      <name val="Tms Rmn"/>
      <family val="0"/>
    </font>
    <font>
      <b/>
      <sz val="10"/>
      <name val="Arial"/>
      <family val="2"/>
    </font>
    <font>
      <b/>
      <sz val="12"/>
      <name val="Arial"/>
      <family val="0"/>
    </font>
    <font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mediumGray">
        <fgColor indexed="22"/>
        <bgColor indexed="21"/>
      </patternFill>
    </fill>
  </fills>
  <borders count="21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4" fillId="2" borderId="5" xfId="0" applyFont="1" applyFill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172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2" fontId="1" fillId="0" borderId="8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right"/>
    </xf>
    <xf numFmtId="10" fontId="1" fillId="0" borderId="0" xfId="0" applyNumberFormat="1" applyFont="1" applyAlignment="1">
      <alignment/>
    </xf>
    <xf numFmtId="10" fontId="1" fillId="0" borderId="0" xfId="0" applyNumberFormat="1" applyFont="1" applyAlignment="1">
      <alignment horizontal="right"/>
    </xf>
    <xf numFmtId="166" fontId="1" fillId="0" borderId="0" xfId="0" applyNumberFormat="1" applyFont="1" applyAlignment="1">
      <alignment/>
    </xf>
    <xf numFmtId="10" fontId="4" fillId="2" borderId="5" xfId="0" applyNumberFormat="1" applyFont="1" applyFill="1" applyBorder="1" applyAlignment="1">
      <alignment/>
    </xf>
    <xf numFmtId="10" fontId="1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2" fontId="9" fillId="0" borderId="0" xfId="0" applyNumberFormat="1" applyFont="1" applyAlignment="1">
      <alignment/>
    </xf>
    <xf numFmtId="172" fontId="9" fillId="0" borderId="8" xfId="0" applyNumberFormat="1" applyFont="1" applyBorder="1" applyAlignment="1">
      <alignment/>
    </xf>
    <xf numFmtId="0" fontId="1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11" xfId="0" applyBorder="1" applyAlignment="1">
      <alignment/>
    </xf>
    <xf numFmtId="2" fontId="0" fillId="0" borderId="12" xfId="0" applyNumberFormat="1" applyBorder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172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6" fontId="1" fillId="0" borderId="0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6" fontId="1" fillId="0" borderId="19" xfId="0" applyNumberFormat="1" applyFont="1" applyBorder="1" applyAlignment="1">
      <alignment/>
    </xf>
    <xf numFmtId="0" fontId="0" fillId="0" borderId="2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Welfare Effects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725"/>
          <c:y val="0.15275"/>
          <c:w val="0.7125"/>
          <c:h val="0.746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'Comparison Tables'!$A$3</c:f>
              <c:strCache>
                <c:ptCount val="1"/>
                <c:pt idx="0">
                  <c:v>welfare triangle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'Comparison Tables'!$B$2:$C$2</c:f>
              <c:strCache/>
            </c:strRef>
          </c:cat>
          <c:val>
            <c:numRef>
              <c:f>'Comparison Tables'!$B$3:$C$3</c:f>
              <c:numCache/>
            </c:numRef>
          </c:val>
          <c:shape val="box"/>
        </c:ser>
        <c:ser>
          <c:idx val="1"/>
          <c:order val="1"/>
          <c:tx>
            <c:strRef>
              <c:f>'Comparison Tables'!$A$4</c:f>
              <c:strCache>
                <c:ptCount val="1"/>
                <c:pt idx="0">
                  <c:v>terms-of-trade effects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'Comparison Tables'!$B$2:$C$2</c:f>
              <c:strCache/>
            </c:strRef>
          </c:cat>
          <c:val>
            <c:numRef>
              <c:f>'Comparison Tables'!$B$4:$C$4</c:f>
              <c:numCache/>
            </c:numRef>
          </c:val>
          <c:shape val="box"/>
        </c:ser>
        <c:ser>
          <c:idx val="2"/>
          <c:order val="2"/>
          <c:tx>
            <c:strRef>
              <c:f>'Comparison Tables'!$A$5</c:f>
              <c:strCache>
                <c:ptCount val="1"/>
                <c:pt idx="0">
                  <c:v>quota rent transfers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'Comparison Tables'!$B$2:$C$2</c:f>
              <c:strCache/>
            </c:strRef>
          </c:cat>
          <c:val>
            <c:numRef>
              <c:f>'Comparison Tables'!$B$5:$C$5</c:f>
              <c:numCache/>
            </c:numRef>
          </c:val>
          <c:shape val="box"/>
        </c:ser>
        <c:overlap val="100"/>
        <c:shape val="box"/>
        <c:axId val="16695179"/>
        <c:axId val="16038884"/>
      </c:bar3DChart>
      <c:catAx>
        <c:axId val="16695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6038884"/>
        <c:crosses val="autoZero"/>
        <c:auto val="0"/>
        <c:lblOffset val="100"/>
        <c:noMultiLvlLbl val="0"/>
      </c:catAx>
      <c:valAx>
        <c:axId val="160388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6951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875"/>
          <c:y val="0.441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6</xdr:row>
      <xdr:rowOff>76200</xdr:rowOff>
    </xdr:from>
    <xdr:to>
      <xdr:col>7</xdr:col>
      <xdr:colOff>123825</xdr:colOff>
      <xdr:row>20</xdr:row>
      <xdr:rowOff>76200</xdr:rowOff>
    </xdr:to>
    <xdr:graphicFrame>
      <xdr:nvGraphicFramePr>
        <xdr:cNvPr id="1" name="Chart 1"/>
        <xdr:cNvGraphicFramePr/>
      </xdr:nvGraphicFramePr>
      <xdr:xfrm>
        <a:off x="57150" y="1047750"/>
        <a:ext cx="561975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showGridLines="0" tabSelected="1" workbookViewId="0" topLeftCell="A1">
      <selection activeCell="B23" sqref="B23"/>
    </sheetView>
  </sheetViews>
  <sheetFormatPr defaultColWidth="9.140625" defaultRowHeight="12.75"/>
  <sheetData>
    <row r="1" ht="18">
      <c r="A1" s="30" t="s">
        <v>0</v>
      </c>
    </row>
    <row r="3" spans="2:3" ht="15">
      <c r="B3" s="27" t="s">
        <v>1</v>
      </c>
      <c r="C3" s="27"/>
    </row>
    <row r="4" spans="2:3" ht="15">
      <c r="B4" s="27" t="s">
        <v>2</v>
      </c>
      <c r="C4" s="27"/>
    </row>
    <row r="5" spans="2:3" ht="15">
      <c r="B5" s="27" t="s">
        <v>3</v>
      </c>
      <c r="C5" s="27"/>
    </row>
    <row r="6" spans="2:3" ht="15">
      <c r="B6" s="27"/>
      <c r="C6" s="27"/>
    </row>
    <row r="7" spans="2:3" ht="15">
      <c r="B7" s="27" t="s">
        <v>4</v>
      </c>
      <c r="C7" s="27"/>
    </row>
    <row r="8" spans="2:3" ht="15">
      <c r="B8" s="27" t="s">
        <v>5</v>
      </c>
      <c r="C8" s="27"/>
    </row>
    <row r="9" spans="2:3" ht="15">
      <c r="B9" s="27" t="s">
        <v>6</v>
      </c>
      <c r="C9" s="27"/>
    </row>
    <row r="10" spans="2:3" ht="15">
      <c r="B10" s="27" t="s">
        <v>7</v>
      </c>
      <c r="C10" s="27"/>
    </row>
    <row r="11" spans="2:3" ht="15">
      <c r="B11" s="27" t="s">
        <v>8</v>
      </c>
      <c r="C11" s="27"/>
    </row>
    <row r="12" spans="2:3" ht="15">
      <c r="B12" s="27" t="s">
        <v>9</v>
      </c>
      <c r="C12" s="27"/>
    </row>
    <row r="13" spans="2:3" ht="15">
      <c r="B13" s="27"/>
      <c r="C13" s="27"/>
    </row>
    <row r="14" spans="2:3" ht="15">
      <c r="B14" s="27" t="s">
        <v>10</v>
      </c>
      <c r="C14" s="27"/>
    </row>
    <row r="15" spans="2:3" ht="15">
      <c r="B15" s="27" t="s">
        <v>11</v>
      </c>
      <c r="C15" s="27"/>
    </row>
    <row r="16" spans="2:3" ht="15">
      <c r="B16" s="38" t="s">
        <v>12</v>
      </c>
      <c r="C16" s="27"/>
    </row>
    <row r="17" spans="2:3" ht="15">
      <c r="B17" s="27" t="s">
        <v>13</v>
      </c>
      <c r="C17" s="27"/>
    </row>
    <row r="18" spans="2:3" ht="15">
      <c r="B18" s="27"/>
      <c r="C18" s="27"/>
    </row>
    <row r="19" spans="1:3" ht="15">
      <c r="A19" s="28"/>
      <c r="B19" s="27" t="s">
        <v>69</v>
      </c>
      <c r="C19" s="27"/>
    </row>
    <row r="20" spans="2:3" ht="15">
      <c r="B20" s="27" t="s">
        <v>68</v>
      </c>
      <c r="C20" s="27"/>
    </row>
    <row r="22" ht="12.75">
      <c r="B22" s="29" t="s">
        <v>67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B5" sqref="B5"/>
    </sheetView>
  </sheetViews>
  <sheetFormatPr defaultColWidth="9.140625" defaultRowHeight="12.75"/>
  <cols>
    <col min="1" max="1" width="19.8515625" style="0" customWidth="1"/>
    <col min="2" max="3" width="13.421875" style="0" customWidth="1"/>
  </cols>
  <sheetData>
    <row r="1" ht="12.75">
      <c r="A1" s="37" t="s">
        <v>14</v>
      </c>
    </row>
    <row r="2" spans="2:3" ht="12.75">
      <c r="B2" s="35" t="s">
        <v>15</v>
      </c>
      <c r="C2" s="35" t="s">
        <v>16</v>
      </c>
    </row>
    <row r="3" spans="1:3" ht="12.75">
      <c r="A3" t="s">
        <v>17</v>
      </c>
      <c r="B3" s="34">
        <f>'Perfect Substitutes Model'!F47-'Perfect Substitutes Model'!F41</f>
        <v>9.657136525059924</v>
      </c>
      <c r="C3" s="34">
        <f>'Perfect Substitutes Model'!G47-'Perfect Substitutes Model'!G41</f>
        <v>9.372963792962723</v>
      </c>
    </row>
    <row r="4" spans="1:3" ht="12.75">
      <c r="A4" t="s">
        <v>18</v>
      </c>
      <c r="B4" s="34">
        <f>'Perfect Substitutes Model'!F48-'Perfect Substitutes Model'!F42</f>
        <v>-43.76362342100179</v>
      </c>
      <c r="C4" s="34">
        <f>'Perfect Substitutes Model'!G48-'Perfect Substitutes Model'!G42</f>
        <v>-42.27828541481953</v>
      </c>
    </row>
    <row r="5" spans="1:3" ht="12.75">
      <c r="A5" t="s">
        <v>19</v>
      </c>
      <c r="B5" s="34">
        <f>'Perfect Substitutes Model'!F49-'Perfect Substitutes Model'!F43</f>
        <v>0</v>
      </c>
      <c r="C5" s="34">
        <f>'Perfect Substitutes Model'!G49-'Perfect Substitutes Model'!G43</f>
        <v>0</v>
      </c>
    </row>
    <row r="6" spans="1:3" ht="12.75">
      <c r="A6" s="37" t="s">
        <v>20</v>
      </c>
      <c r="B6" s="36">
        <f>SUM(B3:B5)</f>
        <v>-34.10648689594186</v>
      </c>
      <c r="C6" s="36">
        <f>SUM(C3:C5)</f>
        <v>-32.90532162185681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8"/>
  <sheetViews>
    <sheetView showGridLines="0" workbookViewId="0" topLeftCell="A1">
      <selection activeCell="A1" sqref="A1"/>
    </sheetView>
  </sheetViews>
  <sheetFormatPr defaultColWidth="9.140625" defaultRowHeight="12.75"/>
  <cols>
    <col min="2" max="2" width="18.140625" style="0" customWidth="1"/>
    <col min="6" max="7" width="13.57421875" style="0" customWidth="1"/>
    <col min="9" max="9" width="8.8515625" style="0" customWidth="1"/>
  </cols>
  <sheetData>
    <row r="1" spans="1:8" ht="23.25">
      <c r="A1" s="1"/>
      <c r="B1" s="2" t="s">
        <v>21</v>
      </c>
      <c r="C1" s="1"/>
      <c r="D1" s="3" t="s">
        <v>22</v>
      </c>
      <c r="E1" s="1"/>
      <c r="G1" s="1"/>
      <c r="H1" s="1"/>
    </row>
    <row r="2" spans="1:8" ht="24" thickBot="1">
      <c r="A2" s="1"/>
      <c r="B2" s="33" t="s">
        <v>23</v>
      </c>
      <c r="C2" s="1"/>
      <c r="D2" s="3"/>
      <c r="E2" s="1"/>
      <c r="G2" s="1"/>
      <c r="H2" s="1"/>
    </row>
    <row r="3" spans="1:8" ht="16.5" thickTop="1">
      <c r="A3" s="4"/>
      <c r="B3" s="5"/>
      <c r="C3" s="6"/>
      <c r="D3" s="6"/>
      <c r="E3" s="6"/>
      <c r="F3" s="6"/>
      <c r="G3" s="6" t="s">
        <v>24</v>
      </c>
      <c r="H3" s="7"/>
    </row>
    <row r="4" spans="1:8" ht="15.75">
      <c r="A4" s="8"/>
      <c r="B4" s="9">
        <v>1182.38</v>
      </c>
      <c r="C4" s="1" t="s">
        <v>25</v>
      </c>
      <c r="D4" s="1"/>
      <c r="E4" s="1"/>
      <c r="F4" s="1"/>
      <c r="G4" s="1"/>
      <c r="H4" s="10"/>
    </row>
    <row r="5" spans="1:8" ht="15.75">
      <c r="A5" s="8"/>
      <c r="B5" s="9">
        <v>7480.06</v>
      </c>
      <c r="C5" s="1" t="s">
        <v>26</v>
      </c>
      <c r="D5" s="1"/>
      <c r="E5" s="1"/>
      <c r="F5" s="1"/>
      <c r="G5" s="1"/>
      <c r="H5" s="10"/>
    </row>
    <row r="6" spans="1:8" ht="15.75">
      <c r="A6" s="8"/>
      <c r="B6" s="1"/>
      <c r="C6" s="1"/>
      <c r="D6" s="1"/>
      <c r="E6" s="1"/>
      <c r="F6" s="1"/>
      <c r="G6" s="1"/>
      <c r="H6" s="10"/>
    </row>
    <row r="7" spans="1:8" ht="15.75">
      <c r="A7" s="8"/>
      <c r="B7" s="9">
        <v>3</v>
      </c>
      <c r="C7" s="1" t="s">
        <v>27</v>
      </c>
      <c r="D7" s="1"/>
      <c r="E7" s="1"/>
      <c r="F7" s="1"/>
      <c r="G7" s="1"/>
      <c r="H7" s="10"/>
    </row>
    <row r="8" spans="1:8" ht="15.75">
      <c r="A8" s="8"/>
      <c r="B8" s="9">
        <v>1</v>
      </c>
      <c r="C8" s="1" t="s">
        <v>28</v>
      </c>
      <c r="D8" s="1"/>
      <c r="E8" s="1"/>
      <c r="F8" s="1"/>
      <c r="G8" s="1"/>
      <c r="H8" s="10"/>
    </row>
    <row r="9" spans="1:8" ht="15.75">
      <c r="A9" s="8"/>
      <c r="B9" s="9">
        <v>10</v>
      </c>
      <c r="C9" s="1" t="s">
        <v>29</v>
      </c>
      <c r="D9" s="1"/>
      <c r="E9" s="1"/>
      <c r="F9" s="1"/>
      <c r="G9" s="1"/>
      <c r="H9" s="10"/>
    </row>
    <row r="10" spans="1:8" ht="15.75">
      <c r="A10" s="8"/>
      <c r="B10" s="1"/>
      <c r="C10" s="1"/>
      <c r="D10" s="1"/>
      <c r="E10" s="1"/>
      <c r="F10" s="1"/>
      <c r="G10" s="1"/>
      <c r="H10" s="10"/>
    </row>
    <row r="11" spans="1:8" ht="15.75">
      <c r="A11" s="8"/>
      <c r="B11" s="25">
        <v>0.05</v>
      </c>
      <c r="C11" s="1" t="s">
        <v>30</v>
      </c>
      <c r="D11" s="1"/>
      <c r="E11" s="1"/>
      <c r="F11" s="1"/>
      <c r="G11" s="1"/>
      <c r="H11" s="10"/>
    </row>
    <row r="12" spans="1:8" ht="15.75">
      <c r="A12" s="8"/>
      <c r="B12" s="25">
        <v>0</v>
      </c>
      <c r="C12" s="1" t="s">
        <v>31</v>
      </c>
      <c r="D12" s="1"/>
      <c r="E12" s="1"/>
      <c r="F12" s="1"/>
      <c r="G12" s="1"/>
      <c r="H12" s="10"/>
    </row>
    <row r="13" spans="1:8" ht="15.75">
      <c r="A13" s="8"/>
      <c r="B13" s="26"/>
      <c r="C13" s="1"/>
      <c r="D13" s="1"/>
      <c r="E13" s="1"/>
      <c r="F13" s="1"/>
      <c r="G13" s="1"/>
      <c r="H13" s="10"/>
    </row>
    <row r="14" spans="1:8" ht="15.75">
      <c r="A14" s="8" t="s">
        <v>24</v>
      </c>
      <c r="B14" s="25">
        <v>0</v>
      </c>
      <c r="C14" s="1" t="s">
        <v>32</v>
      </c>
      <c r="D14" s="1"/>
      <c r="E14" s="1"/>
      <c r="F14" s="1"/>
      <c r="G14" s="1"/>
      <c r="H14" s="10"/>
    </row>
    <row r="15" spans="1:8" ht="15.75">
      <c r="A15" s="8"/>
      <c r="B15" s="25">
        <v>0</v>
      </c>
      <c r="C15" s="1" t="s">
        <v>33</v>
      </c>
      <c r="D15" s="1"/>
      <c r="E15" s="1"/>
      <c r="F15" s="1"/>
      <c r="G15" s="1"/>
      <c r="H15" s="10"/>
    </row>
    <row r="16" spans="1:8" ht="16.5" thickBot="1">
      <c r="A16" s="11"/>
      <c r="B16" s="12"/>
      <c r="C16" s="12"/>
      <c r="D16" s="12"/>
      <c r="E16" s="12"/>
      <c r="F16" s="12"/>
      <c r="G16" s="12"/>
      <c r="H16" s="13"/>
    </row>
    <row r="17" spans="1:8" ht="16.5" thickTop="1">
      <c r="A17" s="1"/>
      <c r="B17" s="1"/>
      <c r="C17" s="1"/>
      <c r="D17" s="1"/>
      <c r="E17" s="1"/>
      <c r="F17" s="1"/>
      <c r="G17" s="1"/>
      <c r="H17" s="1"/>
    </row>
    <row r="18" spans="1:8" ht="16.5" thickBot="1">
      <c r="A18" s="1"/>
      <c r="B18" s="1" t="s">
        <v>34</v>
      </c>
      <c r="C18" s="1"/>
      <c r="D18" s="1"/>
      <c r="E18" s="1"/>
      <c r="F18" s="1"/>
      <c r="G18" s="1"/>
      <c r="H18" s="1"/>
    </row>
    <row r="19" spans="1:8" ht="16.5" thickTop="1">
      <c r="A19" s="4"/>
      <c r="B19" s="6"/>
      <c r="C19" s="6"/>
      <c r="D19" s="6"/>
      <c r="E19" s="6"/>
      <c r="F19" s="6"/>
      <c r="G19" s="6"/>
      <c r="H19" s="7"/>
    </row>
    <row r="20" spans="1:8" ht="15.75">
      <c r="A20" s="8"/>
      <c r="B20" s="14">
        <f>(B4)</f>
        <v>1182.38</v>
      </c>
      <c r="C20" s="1" t="s">
        <v>35</v>
      </c>
      <c r="D20" s="1"/>
      <c r="E20" s="1"/>
      <c r="F20" s="1"/>
      <c r="G20" s="1"/>
      <c r="H20" s="10"/>
    </row>
    <row r="21" spans="1:8" ht="15.75">
      <c r="A21" s="8"/>
      <c r="B21" s="14">
        <f>(B5)</f>
        <v>7480.06</v>
      </c>
      <c r="C21" s="1" t="s">
        <v>36</v>
      </c>
      <c r="D21" s="1"/>
      <c r="E21" s="1"/>
      <c r="F21" s="1"/>
      <c r="G21" s="1"/>
      <c r="H21" s="10"/>
    </row>
    <row r="22" spans="1:8" ht="15.75">
      <c r="A22" s="8"/>
      <c r="B22" s="14">
        <f>(((1+B11+B14))^B9)*B24</f>
        <v>10258.257113163758</v>
      </c>
      <c r="C22" s="1" t="s">
        <v>37</v>
      </c>
      <c r="D22" s="1"/>
      <c r="E22" s="1"/>
      <c r="F22" s="1"/>
      <c r="G22" s="1"/>
      <c r="H22" s="10"/>
    </row>
    <row r="23" spans="1:8" ht="15.75">
      <c r="A23" s="8"/>
      <c r="B23" s="14">
        <f>(B24)</f>
        <v>6297.68</v>
      </c>
      <c r="C23" s="1" t="s">
        <v>38</v>
      </c>
      <c r="D23" s="1"/>
      <c r="E23" s="1"/>
      <c r="F23" s="1"/>
      <c r="G23" s="1"/>
      <c r="H23" s="10"/>
    </row>
    <row r="24" spans="1:8" ht="15.75">
      <c r="A24" s="8"/>
      <c r="B24" s="14">
        <f>(B5-B4)</f>
        <v>6297.68</v>
      </c>
      <c r="C24" s="1" t="s">
        <v>39</v>
      </c>
      <c r="D24" s="1"/>
      <c r="E24" s="1"/>
      <c r="F24" s="1"/>
      <c r="G24" s="1"/>
      <c r="H24" s="10"/>
    </row>
    <row r="25" spans="1:8" ht="15.75">
      <c r="A25" s="8"/>
      <c r="B25" s="14">
        <f>-(-(B8*B21)-(B7*B20))/(B23)</f>
        <v>1.7509940168442983</v>
      </c>
      <c r="C25" s="1" t="s">
        <v>40</v>
      </c>
      <c r="D25" s="1"/>
      <c r="E25" s="1"/>
      <c r="F25" s="1"/>
      <c r="G25" s="1"/>
      <c r="H25" s="10"/>
    </row>
    <row r="26" spans="1:8" ht="16.5" thickBot="1">
      <c r="A26" s="11"/>
      <c r="B26" s="12"/>
      <c r="C26" s="12"/>
      <c r="D26" s="12"/>
      <c r="E26" s="12"/>
      <c r="F26" s="12"/>
      <c r="G26" s="12"/>
      <c r="H26" s="13"/>
    </row>
    <row r="27" spans="1:8" ht="16.5" thickTop="1">
      <c r="A27" s="1"/>
      <c r="B27" s="1"/>
      <c r="C27" s="1"/>
      <c r="D27" s="1"/>
      <c r="E27" s="1"/>
      <c r="F27" s="1"/>
      <c r="G27" s="1"/>
      <c r="H27" s="1"/>
    </row>
    <row r="28" spans="1:8" ht="16.5" thickBot="1">
      <c r="A28" s="1"/>
      <c r="B28" s="1" t="s">
        <v>41</v>
      </c>
      <c r="C28" s="1"/>
      <c r="D28" s="1"/>
      <c r="E28" s="1"/>
      <c r="F28" s="1"/>
      <c r="G28" s="1"/>
      <c r="H28" s="1"/>
    </row>
    <row r="29" spans="1:8" ht="16.5" thickTop="1">
      <c r="A29" s="4"/>
      <c r="B29" s="6"/>
      <c r="C29" s="6"/>
      <c r="D29" s="6"/>
      <c r="E29" s="6"/>
      <c r="F29" s="6"/>
      <c r="G29" s="6"/>
      <c r="H29" s="7"/>
    </row>
    <row r="30" spans="1:8" ht="15.75">
      <c r="A30" s="8"/>
      <c r="B30" s="15">
        <f>EXP((1/($B$9+$B$25))*(LN($B$23)-LN($B$22)+($B$9*LN((1+$B$12+$B$15)))))</f>
        <v>0.959330118331112</v>
      </c>
      <c r="C30" s="1" t="s">
        <v>42</v>
      </c>
      <c r="D30" s="1"/>
      <c r="E30" s="1"/>
      <c r="F30" s="1"/>
      <c r="G30" s="1"/>
      <c r="H30" s="10"/>
    </row>
    <row r="31" spans="1:8" ht="15.75">
      <c r="A31" s="8"/>
      <c r="B31" s="15">
        <v>0.9590942635391597</v>
      </c>
      <c r="C31" s="1" t="s">
        <v>43</v>
      </c>
      <c r="D31" s="1"/>
      <c r="E31" s="1"/>
      <c r="F31" s="1"/>
      <c r="G31" s="1"/>
      <c r="H31" s="10"/>
    </row>
    <row r="32" spans="1:8" ht="15.75">
      <c r="A32" s="8"/>
      <c r="B32" s="15"/>
      <c r="C32" s="31">
        <f>($B$22*($B$31^$B$9)*(((1+$B$12+$B$15))^(-$B$9)))+(($B$20)*($B$31^$B$7))-($B$21*($B$31^(-$B$8)))</f>
        <v>-9.813902579480782E-08</v>
      </c>
      <c r="D32" s="1" t="s">
        <v>44</v>
      </c>
      <c r="E32" s="1"/>
      <c r="F32" s="1"/>
      <c r="G32" s="1"/>
      <c r="H32" s="10"/>
    </row>
    <row r="33" spans="1:9" ht="15.75">
      <c r="A33" s="8"/>
      <c r="B33" s="15">
        <f>EXP((1/($B$9+$B$25))*(LN($B$23)-LN($B$22)+($B$9*LN((1)))))</f>
        <v>0.959330118331112</v>
      </c>
      <c r="C33" s="1" t="s">
        <v>45</v>
      </c>
      <c r="D33" s="1"/>
      <c r="E33" s="1"/>
      <c r="F33" s="1"/>
      <c r="G33" s="1"/>
      <c r="H33" s="10"/>
      <c r="I33" s="40"/>
    </row>
    <row r="34" spans="1:8" ht="15.75">
      <c r="A34" s="8"/>
      <c r="B34" s="15">
        <v>0.959094263540359</v>
      </c>
      <c r="C34" s="1" t="s">
        <v>46</v>
      </c>
      <c r="D34" s="1"/>
      <c r="E34" s="1"/>
      <c r="F34" s="1"/>
      <c r="G34" s="1"/>
      <c r="H34" s="10"/>
    </row>
    <row r="35" spans="1:9" ht="16.5" thickBot="1">
      <c r="A35" s="11"/>
      <c r="B35" s="16" t="s">
        <v>24</v>
      </c>
      <c r="C35" s="32">
        <f>($B$22*($B$34^$B$9)*(((1))^(-$B$9)))+(($B$20)*($B$34^$B$7))-($B$21*($B$34^(-$B$8)))</f>
        <v>0</v>
      </c>
      <c r="D35" s="12" t="s">
        <v>47</v>
      </c>
      <c r="E35" s="12"/>
      <c r="F35" s="12"/>
      <c r="G35" s="12"/>
      <c r="H35" s="13"/>
      <c r="I35" s="41"/>
    </row>
    <row r="36" spans="1:9" ht="16.5" thickTop="1">
      <c r="A36" s="1"/>
      <c r="B36" s="1"/>
      <c r="C36" s="1"/>
      <c r="D36" s="1"/>
      <c r="E36" s="1"/>
      <c r="F36" s="1"/>
      <c r="G36" s="1"/>
      <c r="H36" s="1"/>
      <c r="I36" s="42"/>
    </row>
    <row r="37" spans="1:9" ht="16.5" thickBot="1">
      <c r="A37" s="1"/>
      <c r="B37" s="1" t="s">
        <v>48</v>
      </c>
      <c r="C37" s="1"/>
      <c r="D37" s="1"/>
      <c r="E37" s="1"/>
      <c r="F37" s="1"/>
      <c r="G37" s="1"/>
      <c r="H37" s="1"/>
      <c r="I37" s="43"/>
    </row>
    <row r="38" spans="1:9" ht="16.5" thickTop="1">
      <c r="A38" s="4"/>
      <c r="B38" s="6" t="s">
        <v>24</v>
      </c>
      <c r="C38" s="6"/>
      <c r="D38" s="6"/>
      <c r="E38" s="6"/>
      <c r="F38" s="6"/>
      <c r="G38" s="5"/>
      <c r="H38" s="7"/>
      <c r="I38" s="41"/>
    </row>
    <row r="39" spans="1:8" ht="15.75">
      <c r="A39" s="8"/>
      <c r="B39" s="1"/>
      <c r="C39" s="1"/>
      <c r="D39" s="1"/>
      <c r="E39" s="1"/>
      <c r="F39" s="17" t="s">
        <v>49</v>
      </c>
      <c r="G39" s="17" t="s">
        <v>50</v>
      </c>
      <c r="H39" s="18"/>
    </row>
    <row r="40" spans="1:8" ht="15.75">
      <c r="A40" s="8"/>
      <c r="B40" s="1" t="s">
        <v>51</v>
      </c>
      <c r="C40" s="1"/>
      <c r="D40" s="1"/>
      <c r="E40" s="1"/>
      <c r="F40" s="1"/>
      <c r="G40" s="17"/>
      <c r="H40" s="18"/>
    </row>
    <row r="41" spans="1:10" ht="15.75">
      <c r="A41" s="19"/>
      <c r="B41" s="1" t="s">
        <v>52</v>
      </c>
      <c r="C41" s="1"/>
      <c r="D41" s="1"/>
      <c r="E41" s="1"/>
      <c r="F41" s="20">
        <f>((($B$23*(1^-$B$25))-($B$23*($B$33^-$B$25))))*(1-$B$33)*0.5</f>
        <v>-9.657136525059924</v>
      </c>
      <c r="G41" s="20">
        <f>(($B$24-$B$22*($B$34^$B$9)*(1^-$B$9))*(1-$B$34))*0.5</f>
        <v>-9.372963792962723</v>
      </c>
      <c r="H41" s="18"/>
      <c r="J41" s="40"/>
    </row>
    <row r="42" spans="1:8" ht="15.75">
      <c r="A42" s="8"/>
      <c r="B42" s="1" t="s">
        <v>53</v>
      </c>
      <c r="C42" s="1"/>
      <c r="D42" s="1"/>
      <c r="E42" s="1"/>
      <c r="F42" s="20">
        <f>-$B$24*(1/($B$11+$B$14+1)-$B$33)</f>
        <v>43.76362342100179</v>
      </c>
      <c r="G42" s="20">
        <f>-$B$24*(1/($B$11+$B$14+1)-$B$34)</f>
        <v>42.2782854223721</v>
      </c>
      <c r="H42" s="18"/>
    </row>
    <row r="43" spans="1:10" ht="15.75">
      <c r="A43" s="8"/>
      <c r="B43" s="1" t="s">
        <v>54</v>
      </c>
      <c r="C43" s="1"/>
      <c r="D43" s="1"/>
      <c r="E43" s="1"/>
      <c r="F43" s="20">
        <f>-(B14/((1+B11+B14)))*B24</f>
        <v>0</v>
      </c>
      <c r="G43" s="20">
        <f>-(B14/((1+B11+B14)))*B24</f>
        <v>0</v>
      </c>
      <c r="H43" s="18"/>
      <c r="J43" s="39"/>
    </row>
    <row r="44" spans="1:10" ht="15.75">
      <c r="A44" s="8"/>
      <c r="B44" s="1" t="s">
        <v>55</v>
      </c>
      <c r="C44" s="1"/>
      <c r="D44" s="1"/>
      <c r="E44" s="1"/>
      <c r="F44" s="20">
        <f>SUM(F41:F43)</f>
        <v>34.10648689594186</v>
      </c>
      <c r="G44" s="21">
        <f>SUM(G41:G43)</f>
        <v>32.90532162940938</v>
      </c>
      <c r="H44" s="18"/>
      <c r="J44" s="39"/>
    </row>
    <row r="45" spans="1:8" ht="15.75">
      <c r="A45" s="8"/>
      <c r="B45" s="1"/>
      <c r="C45" s="1"/>
      <c r="D45" s="1"/>
      <c r="E45" s="1"/>
      <c r="F45" s="1"/>
      <c r="G45" s="17"/>
      <c r="H45" s="18"/>
    </row>
    <row r="46" spans="1:8" ht="15.75">
      <c r="A46" s="8"/>
      <c r="B46" s="1" t="s">
        <v>56</v>
      </c>
      <c r="C46" s="1"/>
      <c r="D46" s="1"/>
      <c r="E46" s="1"/>
      <c r="G46" s="17"/>
      <c r="H46" s="18"/>
    </row>
    <row r="47" spans="1:8" ht="15.75">
      <c r="A47" s="8"/>
      <c r="B47" s="1" t="s">
        <v>52</v>
      </c>
      <c r="C47" s="1"/>
      <c r="D47" s="1"/>
      <c r="E47" s="1"/>
      <c r="F47" s="20">
        <f>((($B$23*($B$30^-$B$25))-($B$23*($B$33^-$B$25))))*($B$30-$B$33)*0.5</f>
        <v>0</v>
      </c>
      <c r="G47" s="20">
        <f>($B$22*$B$31^$B$9*(1+$B$12+$B$15)^-$B$9-$B$22*$B$34^$B$9)*($B$31-$B$34)*0.5</f>
        <v>5.0654279092708357E-20</v>
      </c>
      <c r="H47" s="18"/>
    </row>
    <row r="48" spans="1:8" ht="15.75">
      <c r="A48" s="8"/>
      <c r="B48" s="1" t="s">
        <v>53</v>
      </c>
      <c r="C48" s="1"/>
      <c r="D48" s="1"/>
      <c r="E48" s="1"/>
      <c r="F48" s="20">
        <f>-$B$24*($B$30/($B$12+$B$15+1)-$B$33)</f>
        <v>0</v>
      </c>
      <c r="G48" s="20">
        <f>-$B$24*($B$31/($B$12+$B$15+1)-$B$34)</f>
        <v>7.552574050606609E-09</v>
      </c>
      <c r="H48" s="18"/>
    </row>
    <row r="49" spans="1:8" ht="15.75">
      <c r="A49" s="8"/>
      <c r="B49" s="1" t="s">
        <v>54</v>
      </c>
      <c r="C49" s="1"/>
      <c r="D49" s="1"/>
      <c r="E49" s="1"/>
      <c r="F49" s="20">
        <f>-(B30/((1+B12+B15)))*(B15)*(1+F56)*B24</f>
        <v>0</v>
      </c>
      <c r="G49" s="20">
        <f>-(B31/((1+B12+B15)))*(B15)*(1+F56)*B24</f>
        <v>0</v>
      </c>
      <c r="H49" s="18"/>
    </row>
    <row r="50" spans="1:8" ht="15.75">
      <c r="A50" s="8"/>
      <c r="B50" s="1" t="s">
        <v>55</v>
      </c>
      <c r="C50" s="1"/>
      <c r="D50" s="1"/>
      <c r="E50" s="1"/>
      <c r="F50" s="20">
        <f>SUM(F47:F49)</f>
        <v>0</v>
      </c>
      <c r="G50" s="20">
        <f>SUM(G47:G49)</f>
        <v>7.552574050657263E-09</v>
      </c>
      <c r="H50" s="18"/>
    </row>
    <row r="51" spans="1:8" ht="15.75">
      <c r="A51" s="19"/>
      <c r="B51" s="1"/>
      <c r="C51" s="1"/>
      <c r="D51" s="1"/>
      <c r="E51" s="1"/>
      <c r="F51" s="20"/>
      <c r="G51" s="21"/>
      <c r="H51" s="18"/>
    </row>
    <row r="52" spans="1:8" ht="15.75">
      <c r="A52" s="19"/>
      <c r="B52" s="1" t="s">
        <v>57</v>
      </c>
      <c r="C52" s="1"/>
      <c r="D52" s="1"/>
      <c r="E52" s="1"/>
      <c r="F52" s="20">
        <f>(F50-F44)</f>
        <v>-34.10648689594186</v>
      </c>
      <c r="G52" s="21">
        <f>(G50-G44)</f>
        <v>-32.90532162185681</v>
      </c>
      <c r="H52" s="18"/>
    </row>
    <row r="53" spans="1:8" ht="15.75">
      <c r="A53" s="19"/>
      <c r="B53" s="1"/>
      <c r="C53" s="1"/>
      <c r="D53" s="1"/>
      <c r="E53" s="1"/>
      <c r="F53" s="1"/>
      <c r="G53" s="17"/>
      <c r="H53" s="18"/>
    </row>
    <row r="54" spans="1:8" ht="15.75">
      <c r="A54" s="19"/>
      <c r="B54" s="1" t="s">
        <v>58</v>
      </c>
      <c r="C54" s="1"/>
      <c r="D54" s="1"/>
      <c r="E54" s="1"/>
      <c r="F54" s="22">
        <f>((($B$30/(1+$B$12))-(1/(1+$B$11)))*(1+$B$11))</f>
        <v>0.0072966242476676935</v>
      </c>
      <c r="G54" s="22">
        <f>((($B$31/(1+$B$12))-(1/(1+$B$11)))*(1+$B$11))</f>
        <v>0.007048976716117761</v>
      </c>
      <c r="H54" s="18"/>
    </row>
    <row r="55" spans="1:8" ht="15.75">
      <c r="A55" s="8"/>
      <c r="B55" s="1" t="s">
        <v>59</v>
      </c>
      <c r="C55" s="1"/>
      <c r="D55" s="1"/>
      <c r="E55" s="1"/>
      <c r="F55" s="22">
        <f>($B$30-1)</f>
        <v>-0.040669881668887964</v>
      </c>
      <c r="G55" s="23">
        <f>($B$31-1)</f>
        <v>-0.04090573646084028</v>
      </c>
      <c r="H55" s="18"/>
    </row>
    <row r="56" spans="1:8" ht="15.75">
      <c r="A56" s="8"/>
      <c r="B56" s="1" t="s">
        <v>60</v>
      </c>
      <c r="C56" s="1"/>
      <c r="D56" s="1"/>
      <c r="E56" s="1"/>
      <c r="F56" s="22">
        <f>(($B$22*($B$30/((1+$B$12+$B$15))^$B$9))-$B$24)/$B$24</f>
        <v>0.5626476750553155</v>
      </c>
      <c r="G56" s="23">
        <f>(($B$22*($B$31/((1+$B$12+$B$15))^$B$9))-$B$24)/$B$24</f>
        <v>0.5622634924520045</v>
      </c>
      <c r="H56" s="18"/>
    </row>
    <row r="57" spans="1:8" ht="15.75">
      <c r="A57" s="8"/>
      <c r="B57" s="1" t="s">
        <v>61</v>
      </c>
      <c r="C57" s="1"/>
      <c r="D57" s="1"/>
      <c r="E57" s="1"/>
      <c r="F57" s="22">
        <f>(($B$20*($B$30^$B$7))-$B$4)/$B$4</f>
        <v>-0.1171147967633682</v>
      </c>
      <c r="G57" s="23">
        <f>(($B$20*($B$31^$B$7))-$B$4)/$B$4</f>
        <v>-0.11776581827737483</v>
      </c>
      <c r="H57" s="18"/>
    </row>
    <row r="58" spans="1:8" ht="15.75">
      <c r="A58" s="8"/>
      <c r="B58" s="1"/>
      <c r="C58" s="1"/>
      <c r="D58" s="1"/>
      <c r="E58" s="1"/>
      <c r="F58" s="1"/>
      <c r="G58" s="17"/>
      <c r="H58" s="18"/>
    </row>
    <row r="59" spans="1:8" ht="15.75">
      <c r="A59" s="8"/>
      <c r="B59" s="1" t="s">
        <v>62</v>
      </c>
      <c r="C59" s="1"/>
      <c r="D59" s="1"/>
      <c r="E59" s="1"/>
      <c r="F59" s="24">
        <f>B11*B24*1/(1+B11+B14)</f>
        <v>299.88952380952384</v>
      </c>
      <c r="G59" s="24">
        <f>$B$11*$B$24*1*1/(1+$B$11+$B$14)</f>
        <v>299.88952380952384</v>
      </c>
      <c r="H59" s="18"/>
    </row>
    <row r="60" spans="1:8" ht="15.75">
      <c r="A60" s="8"/>
      <c r="B60" s="1" t="s">
        <v>63</v>
      </c>
      <c r="C60" s="1"/>
      <c r="D60" s="1"/>
      <c r="E60" s="1"/>
      <c r="F60" s="24">
        <f>$B$12*(($B$23*($B$30^-$B$25)))*($B$30/(1+$B$12+$B$15))</f>
        <v>0</v>
      </c>
      <c r="G60" s="24">
        <f>$B$12*(($B$23*($B$31^-$B$25)))*($B$31/(1+$B$12+$B$15))</f>
        <v>0</v>
      </c>
      <c r="H60" s="18"/>
    </row>
    <row r="61" spans="1:8" ht="16.5" thickBot="1">
      <c r="A61" s="11"/>
      <c r="B61" s="12"/>
      <c r="C61" s="12"/>
      <c r="D61" s="12"/>
      <c r="E61" s="12"/>
      <c r="F61" s="12"/>
      <c r="G61" s="12"/>
      <c r="H61" s="13"/>
    </row>
    <row r="62" ht="13.5" thickTop="1"/>
    <row r="64" ht="13.5" thickBot="1"/>
    <row r="65" spans="1:8" ht="13.5" thickTop="1">
      <c r="A65" s="44"/>
      <c r="B65" s="45" t="s">
        <v>64</v>
      </c>
      <c r="C65" s="45"/>
      <c r="D65" s="45"/>
      <c r="E65" s="45"/>
      <c r="F65" s="45"/>
      <c r="G65" s="45"/>
      <c r="H65" s="46"/>
    </row>
    <row r="66" spans="1:8" ht="12.75">
      <c r="A66" s="47"/>
      <c r="B66" s="42"/>
      <c r="C66" s="42"/>
      <c r="D66" s="42"/>
      <c r="E66" s="42"/>
      <c r="F66" s="42"/>
      <c r="G66" s="42"/>
      <c r="H66" s="48"/>
    </row>
    <row r="67" spans="1:8" ht="15.75">
      <c r="A67" s="47"/>
      <c r="B67" s="42" t="s">
        <v>65</v>
      </c>
      <c r="C67" s="42"/>
      <c r="D67" s="42"/>
      <c r="E67" s="42"/>
      <c r="F67" s="49">
        <f>$B$4*(1+$F$55)*(1+$F$57)</f>
        <v>1001.4502809749227</v>
      </c>
      <c r="G67" s="49">
        <f>$B$4*(1+$G$55)*(1+$G$57)</f>
        <v>1000.465803358071</v>
      </c>
      <c r="H67" s="48"/>
    </row>
    <row r="68" spans="1:8" ht="16.5" thickBot="1">
      <c r="A68" s="50"/>
      <c r="B68" s="51" t="s">
        <v>66</v>
      </c>
      <c r="C68" s="51"/>
      <c r="D68" s="51"/>
      <c r="E68" s="51"/>
      <c r="F68" s="52">
        <f>$B$21*$B$30^-$B$8</f>
        <v>7797.169980457408</v>
      </c>
      <c r="G68" s="52">
        <f>$B$21*$B$31^-$B$8</f>
        <v>7799.087414408866</v>
      </c>
      <c r="H68" s="53"/>
    </row>
    <row r="69" ht="13.5" thickTop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Joseph F. Francois</cp:lastModifiedBy>
  <dcterms:modified xsi:type="dcterms:W3CDTF">2006-02-01T12:56:36Z</dcterms:modified>
  <cp:category/>
  <cp:version/>
  <cp:contentType/>
  <cp:contentStatus/>
</cp:coreProperties>
</file>