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5460" activeTab="0"/>
  </bookViews>
  <sheets>
    <sheet name="Introduction" sheetId="1" r:id="rId1"/>
    <sheet name="Macro Results Summary" sheetId="2" r:id="rId2"/>
    <sheet name="1-2-3 Model" sheetId="3" r:id="rId3"/>
  </sheets>
  <definedNames>
    <definedName name="_scenchg_count" localSheetId="2" hidden="1">14</definedName>
    <definedName name="_scenchg1" localSheetId="2" hidden="1">'1-2-3 Model'!$F$20</definedName>
    <definedName name="_scenchg10" localSheetId="2" hidden="1">'1-2-3 Model'!$I$23</definedName>
    <definedName name="_scenchg11" localSheetId="2" hidden="1">'1-2-3 Model'!$I$14</definedName>
    <definedName name="_scenchg12" localSheetId="2" hidden="1">'1-2-3 Model'!$I$16</definedName>
    <definedName name="_scenchg13" localSheetId="2" hidden="1">'1-2-3 Model'!$I$26</definedName>
    <definedName name="_scenchg14" localSheetId="2" hidden="1">'1-2-3 Model'!$I$27</definedName>
    <definedName name="_scenchg2" localSheetId="2" hidden="1">'1-2-3 Model'!$I$6</definedName>
    <definedName name="_scenchg3" localSheetId="2" hidden="1">'1-2-3 Model'!$I$8</definedName>
    <definedName name="_scenchg4" localSheetId="2" hidden="1">'1-2-3 Model'!$I$7</definedName>
    <definedName name="_scenchg5" localSheetId="2" hidden="1">'1-2-3 Model'!$I$10</definedName>
    <definedName name="_scenchg6" localSheetId="2" hidden="1">'1-2-3 Model'!#REF!</definedName>
    <definedName name="_scenchg7" localSheetId="2" hidden="1">'1-2-3 Model'!#REF!</definedName>
    <definedName name="_scenchg8" localSheetId="2" hidden="1">'1-2-3 Model'!$I$22</definedName>
    <definedName name="_scenchg9" localSheetId="2" hidden="1">'1-2-3 Model'!$I$21</definedName>
    <definedName name="aq">'1-2-3 Model'!$C$13</definedName>
    <definedName name="ARMG">'1-2-3 Model'!$M$7</definedName>
    <definedName name="at">'1-2-3 Model'!$C$9</definedName>
    <definedName name="B">'1-2-3 Model'!$F$19</definedName>
    <definedName name="B0">'1-2-3 Model'!$E$19</definedName>
    <definedName name="bq">'1-2-3 Model'!$C$14</definedName>
    <definedName name="bt">'1-2-3 Model'!$C$10</definedName>
    <definedName name="CABAL">'1-2-3 Model'!$M$26</definedName>
    <definedName name="CETEQ">'1-2-3 Model'!$M$6</definedName>
    <definedName name="Cn">'1-2-3 Model'!$I$16</definedName>
    <definedName name="Cn0">'1-2-3 Model'!$H$16</definedName>
    <definedName name="CONS">'1-2-3 Model'!$M$15</definedName>
    <definedName name="Dd">'1-2-3 Model'!$I$9</definedName>
    <definedName name="Dd0">'1-2-3 Model'!$H$9</definedName>
    <definedName name="DEM">'1-2-3 Model'!$M$8</definedName>
    <definedName name="DEQ">'1-2-3 Model'!$M$24</definedName>
    <definedName name="Ds">'1-2-3 Model'!$I$8</definedName>
    <definedName name="Ds0">'1-2-3 Model'!$H$8</definedName>
    <definedName name="E">'1-2-3 Model'!$I$6</definedName>
    <definedName name="E0">'1-2-3 Model'!$H$6</definedName>
    <definedName name="EDRAT">'1-2-3 Model'!$M$9</definedName>
    <definedName name="Er">'1-2-3 Model'!$I$24</definedName>
    <definedName name="Er0">'1-2-3 Model'!$H$24</definedName>
    <definedName name="ft">'1-2-3 Model'!$F$17</definedName>
    <definedName name="ft0">'1-2-3 Model'!$E$17</definedName>
    <definedName name="G">'1-2-3 Model'!$F$15</definedName>
    <definedName name="G0">'1-2-3 Model'!$E$15</definedName>
    <definedName name="GBUD">'1-2-3 Model'!$M$27</definedName>
    <definedName name="INC">'1-2-3 Model'!$M$13</definedName>
    <definedName name="M">'1-2-3 Model'!$I$7</definedName>
    <definedName name="M0">'1-2-3 Model'!$H$7</definedName>
    <definedName name="MDRAT">'1-2-3 Model'!$M$10</definedName>
    <definedName name="Pd">'1-2-3 Model'!$I$23</definedName>
    <definedName name="Pd0">'1-2-3 Model'!$H$23</definedName>
    <definedName name="Pe">'1-2-3 Model'!$I$19</definedName>
    <definedName name="Pe0">'1-2-3 Model'!$H$19</definedName>
    <definedName name="PEEQ">'1-2-3 Model'!$M$18</definedName>
    <definedName name="Pm">'1-2-3 Model'!$I$18</definedName>
    <definedName name="Pm0">'1-2-3 Model'!$H$18</definedName>
    <definedName name="PMEQ">'1-2-3 Model'!$M$17</definedName>
    <definedName name="Pq">'1-2-3 Model'!$I$21</definedName>
    <definedName name="Pq0">'1-2-3 Model'!$H$21</definedName>
    <definedName name="PQEQ">'1-2-3 Model'!$M$21</definedName>
    <definedName name="_xlnm.Print_Area" localSheetId="2">'1-2-3 Model'!$K$3:$M$28</definedName>
    <definedName name="Pt">'1-2-3 Model'!$I$20</definedName>
    <definedName name="Pt0">'1-2-3 Model'!$H$20</definedName>
    <definedName name="PTEQ">'1-2-3 Model'!$M$19</definedName>
    <definedName name="Px">'1-2-3 Model'!$I$22</definedName>
    <definedName name="Px0">'1-2-3 Model'!$H$22</definedName>
    <definedName name="PXEQ">'1-2-3 Model'!$M$20</definedName>
    <definedName name="Qd">'1-2-3 Model'!$I$11</definedName>
    <definedName name="Qd0">'1-2-3 Model'!$H$11</definedName>
    <definedName name="QEQ">'1-2-3 Model'!$M$25</definedName>
    <definedName name="Qs">'1-2-3 Model'!$I$10</definedName>
    <definedName name="Qs0">'1-2-3 Model'!$H$10</definedName>
    <definedName name="re">'1-2-3 Model'!$F$18</definedName>
    <definedName name="re0">'1-2-3 Model'!$E$18</definedName>
    <definedName name="REQ">'1-2-3 Model'!$M$22</definedName>
    <definedName name="rq">'1-2-3 Model'!$C$15</definedName>
    <definedName name="rt">'1-2-3 Model'!$C$11</definedName>
    <definedName name="S">'1-2-3 Model'!$I$15</definedName>
    <definedName name="S0">'1-2-3 Model'!$H$15</definedName>
    <definedName name="SAV">'1-2-3 Model'!$M$14</definedName>
    <definedName name="scen_change" localSheetId="2" hidden="1">'1-2-3 Model'!$I$6:$I$10,'1-2-3 Model'!$I$22:$I$25,'1-2-3 Model'!$I$14:$I$27</definedName>
    <definedName name="scen_result" localSheetId="2" hidden="1">'1-2-3 Model'!#REF!,'1-2-3 Model'!#REF!,'1-2-3 Model'!#REF!,'1-2-3 Model'!$M$6,'1-2-3 Model'!$M$9,'1-2-3 Model'!$M$20,'1-2-3 Model'!$M$7,'1-2-3 Model'!$M$10,'1-2-3 Model'!$M$21,'1-2-3 Model'!$M$13,'1-2-3 Model'!$M$15,'1-2-3 Model'!$M$26,'1-2-3 Model'!$M$8,'1-2-3 Model'!$M$27</definedName>
    <definedName name="Sg">'1-2-3 Model'!$I$27</definedName>
    <definedName name="Sg0">'1-2-3 Model'!$H$27</definedName>
    <definedName name="solver_adj" localSheetId="2" hidden="1">'1-2-3 Model'!$I$6,'1-2-3 Model'!$I$7,'1-2-3 Model'!$I$8,'1-2-3 Model'!$I$9,'1-2-3 Model'!$I$10,'1-2-3 Model'!$I$11,'1-2-3 Model'!$I$13,'1-2-3 Model'!$I$14,'1-2-3 Model'!$I$15,'1-2-3 Model'!$I$16,'1-2-3 Model'!$I$18,'1-2-3 Model'!$I$19,'1-2-3 Model'!$I$20,'1-2-3 Model'!$I$21,'1-2-3 Model'!$I$22,'1-2-3 Model'!$I$23,'1-2-3 Model'!$I$26,'1-2-3 Model'!$I$27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500</definedName>
    <definedName name="solver_lhs1" localSheetId="2" hidden="1">'1-2-3 Model'!$M$6</definedName>
    <definedName name="solver_lhs10" localSheetId="2" hidden="1">'1-2-3 Model'!$M$27</definedName>
    <definedName name="solver_lhs11" localSheetId="2" hidden="1">'1-2-3 Model'!$M$12</definedName>
    <definedName name="solver_lhs12" localSheetId="2" hidden="1">'1-2-3 Model'!$M$14</definedName>
    <definedName name="solver_lhs13" localSheetId="2" hidden="1">'1-2-3 Model'!$M$17</definedName>
    <definedName name="solver_lhs14" localSheetId="2" hidden="1">'1-2-3 Model'!$M$18</definedName>
    <definedName name="solver_lhs15" localSheetId="2" hidden="1">'1-2-3 Model'!$M$19</definedName>
    <definedName name="solver_lhs16" localSheetId="2" hidden="1">'1-2-3 Model'!$M$20</definedName>
    <definedName name="solver_lhs17" localSheetId="2" hidden="1">'1-2-3 Model'!$M$24</definedName>
    <definedName name="solver_lhs18" localSheetId="2" hidden="1">'1-2-3 Model'!$M$25</definedName>
    <definedName name="solver_lhs19" localSheetId="2" hidden="1">'1-2-3 Model'!$M$22</definedName>
    <definedName name="solver_lhs2" localSheetId="2" hidden="1">'1-2-3 Model'!$M$9</definedName>
    <definedName name="solver_lhs3" localSheetId="2" hidden="1">'1-2-3 Model'!$M$7</definedName>
    <definedName name="solver_lhs4" localSheetId="2" hidden="1">'1-2-3 Model'!$M$10</definedName>
    <definedName name="solver_lhs5" localSheetId="2" hidden="1">'1-2-3 Model'!$M$21</definedName>
    <definedName name="solver_lhs6" localSheetId="2" hidden="1">'1-2-3 Model'!$M$13</definedName>
    <definedName name="solver_lhs7" localSheetId="2" hidden="1">'1-2-3 Model'!$M$15</definedName>
    <definedName name="solver_lhs8" localSheetId="2" hidden="1">'1-2-3 Model'!$M$26</definedName>
    <definedName name="solver_lhs9" localSheetId="2" hidden="1">'1-2-3 Model'!$M$8</definedName>
    <definedName name="solver_lin" localSheetId="2" hidden="1">2</definedName>
    <definedName name="solver_neg" localSheetId="2" hidden="1">2</definedName>
    <definedName name="solver_num" localSheetId="2" hidden="1">19</definedName>
    <definedName name="solver_nwt" localSheetId="2" hidden="1">1</definedName>
    <definedName name="solver_opt" localSheetId="2" hidden="1">'1-2-3 Model'!$I$16</definedName>
    <definedName name="solver_pre" localSheetId="2" hidden="1">0.001</definedName>
    <definedName name="solver_rel1" localSheetId="2" hidden="1">2</definedName>
    <definedName name="solver_rel10" localSheetId="2" hidden="1">2</definedName>
    <definedName name="solver_rel11" localSheetId="2" hidden="1">2</definedName>
    <definedName name="solver_rel12" localSheetId="2" hidden="1">2</definedName>
    <definedName name="solver_rel13" localSheetId="2" hidden="1">2</definedName>
    <definedName name="solver_rel14" localSheetId="2" hidden="1">2</definedName>
    <definedName name="solver_rel15" localSheetId="2" hidden="1">2</definedName>
    <definedName name="solver_rel16" localSheetId="2" hidden="1">2</definedName>
    <definedName name="solver_rel17" localSheetId="2" hidden="1">2</definedName>
    <definedName name="solver_rel18" localSheetId="2" hidden="1">2</definedName>
    <definedName name="solver_rel19" localSheetId="2" hidden="1">2</definedName>
    <definedName name="solver_rel2" localSheetId="2" hidden="1">2</definedName>
    <definedName name="solver_rel3" localSheetId="2" hidden="1">2</definedName>
    <definedName name="solver_rel4" localSheetId="2" hidden="1">2</definedName>
    <definedName name="solver_rel5" localSheetId="2" hidden="1">2</definedName>
    <definedName name="solver_rel6" localSheetId="2" hidden="1">2</definedName>
    <definedName name="solver_rel7" localSheetId="2" hidden="1">2</definedName>
    <definedName name="solver_rel8" localSheetId="2" hidden="1">2</definedName>
    <definedName name="solver_rel9" localSheetId="2" hidden="1">2</definedName>
    <definedName name="solver_rhs1" localSheetId="2" hidden="1">X</definedName>
    <definedName name="solver_rhs10" localSheetId="2" hidden="1">Sg</definedName>
    <definedName name="solver_rhs11" localSheetId="2" hidden="1">Tax</definedName>
    <definedName name="solver_rhs12" localSheetId="2" hidden="1">S</definedName>
    <definedName name="solver_rhs13" localSheetId="2" hidden="1">Pm</definedName>
    <definedName name="solver_rhs14" localSheetId="2" hidden="1">Pe</definedName>
    <definedName name="solver_rhs15" localSheetId="2" hidden="1">Pt</definedName>
    <definedName name="solver_rhs16" localSheetId="2" hidden="1">Px</definedName>
    <definedName name="solver_rhs17" localSheetId="2" hidden="1">0</definedName>
    <definedName name="solver_rhs18" localSheetId="2" hidden="1">0</definedName>
    <definedName name="solver_rhs19" localSheetId="2" hidden="1">Er</definedName>
    <definedName name="solver_rhs2" localSheetId="2" hidden="1">E/Ds</definedName>
    <definedName name="solver_rhs3" localSheetId="2" hidden="1">Qs</definedName>
    <definedName name="solver_rhs4" localSheetId="2" hidden="1">M/Dd</definedName>
    <definedName name="solver_rhs5" localSheetId="2" hidden="1">Pq</definedName>
    <definedName name="solver_rhs6" localSheetId="2" hidden="1">Y</definedName>
    <definedName name="solver_rhs7" localSheetId="2" hidden="1">Cn</definedName>
    <definedName name="solver_rhs8" localSheetId="2" hidden="1">B</definedName>
    <definedName name="solver_rhs9" localSheetId="2" hidden="1">Qd</definedName>
    <definedName name="solver_scl" localSheetId="2" hidden="1">2</definedName>
    <definedName name="solver_sho" localSheetId="2" hidden="1">2</definedName>
    <definedName name="solver_tim" localSheetId="2" hidden="1">300</definedName>
    <definedName name="solver_tmp" localSheetId="2" hidden="1">Er</definedName>
    <definedName name="solver_tol" localSheetId="2" hidden="1">0.05</definedName>
    <definedName name="solver_typ" localSheetId="2" hidden="1">1</definedName>
    <definedName name="solver_val" localSheetId="2" hidden="1">0</definedName>
    <definedName name="sq">'1-2-3 Model'!$C$7</definedName>
    <definedName name="st">'1-2-3 Model'!$C$6</definedName>
    <definedName name="sy">'1-2-3 Model'!$F$14</definedName>
    <definedName name="sy0">'1-2-3 Model'!$E$14</definedName>
    <definedName name="Tax">'1-2-3 Model'!$I$13</definedName>
    <definedName name="Tax0">'1-2-3 Model'!$H$13</definedName>
    <definedName name="TAXEQ">'1-2-3 Model'!$M$12</definedName>
    <definedName name="te">'1-2-3 Model'!$F$10</definedName>
    <definedName name="te0">'1-2-3 Model'!$E$10</definedName>
    <definedName name="tm">'1-2-3 Model'!$F$9</definedName>
    <definedName name="tm0">'1-2-3 Model'!$E$9</definedName>
    <definedName name="tr">'1-2-3 Model'!$F$16</definedName>
    <definedName name="tr0">'1-2-3 Model'!$E$16</definedName>
    <definedName name="ts">'1-2-3 Model'!$F$11</definedName>
    <definedName name="ts0">'1-2-3 Model'!$E$11</definedName>
    <definedName name="ty">'1-2-3 Model'!$F$12</definedName>
    <definedName name="ty0">'1-2-3 Model'!$E$12</definedName>
    <definedName name="we">'1-2-3 Model'!$F$7</definedName>
    <definedName name="we0">'1-2-3 Model'!$E$7</definedName>
    <definedName name="wm">'1-2-3 Model'!$F$6</definedName>
    <definedName name="wm0">'1-2-3 Model'!$E$6</definedName>
    <definedName name="wrn.table1." localSheetId="2" hidden="1">{#N/A,#N/A,FALSE}</definedName>
    <definedName name="X">'1-2-3 Model'!$F$20</definedName>
    <definedName name="X0">'1-2-3 Model'!$E$20</definedName>
    <definedName name="Y">'1-2-3 Model'!$I$14</definedName>
    <definedName name="Y0">'1-2-3 Model'!$H$14</definedName>
    <definedName name="Z">'1-2-3 Model'!$I$26</definedName>
    <definedName name="Z0">'1-2-3 Model'!$H$26</definedName>
  </definedNames>
  <calcPr fullCalcOnLoad="1"/>
</workbook>
</file>

<file path=xl/sharedStrings.xml><?xml version="1.0" encoding="utf-8"?>
<sst xmlns="http://schemas.openxmlformats.org/spreadsheetml/2006/main" count="142" uniqueCount="132">
  <si>
    <t>1-2-3 (CGE) Model for Sri Lanka, 1991</t>
  </si>
  <si>
    <t>Parameters</t>
  </si>
  <si>
    <t>Exogenous Variables</t>
  </si>
  <si>
    <t>Base Year</t>
  </si>
  <si>
    <t>Current</t>
  </si>
  <si>
    <t>Endogenous Variables</t>
  </si>
  <si>
    <t>Cur/Base</t>
  </si>
  <si>
    <t>Eq.#</t>
  </si>
  <si>
    <t>Equations</t>
  </si>
  <si>
    <t>Data - Sri Lanka, 1991</t>
  </si>
  <si>
    <t>Real Flows</t>
  </si>
  <si>
    <t>Rs Billion</t>
  </si>
  <si>
    <t>Output=1</t>
  </si>
  <si>
    <t>Elasticity for CET  (st)</t>
  </si>
  <si>
    <t>World Price of Imports (wm)</t>
  </si>
  <si>
    <t>Export Good (E)</t>
  </si>
  <si>
    <t>CET  Transformation (CETEQ)</t>
  </si>
  <si>
    <t>National Accounts</t>
  </si>
  <si>
    <t>Fiscal Account</t>
  </si>
  <si>
    <t>Elasticity for CES/Q (sq)</t>
  </si>
  <si>
    <t>World Price of Exports (we)</t>
  </si>
  <si>
    <t>Import Good (M)</t>
  </si>
  <si>
    <t>Supply of Goods (ARMG)</t>
  </si>
  <si>
    <t xml:space="preserve"> Output (Value Added)</t>
  </si>
  <si>
    <t>Revenue</t>
  </si>
  <si>
    <t>Supply of Domestic Good (Ds)</t>
  </si>
  <si>
    <t>Domestic Demand (DEM)</t>
  </si>
  <si>
    <t xml:space="preserve">  Wages</t>
  </si>
  <si>
    <t xml:space="preserve">  NonTax</t>
  </si>
  <si>
    <t>Scale for CET (at)</t>
  </si>
  <si>
    <t>Import Tariffs (tm)</t>
  </si>
  <si>
    <t>Demand of Domestic Good (Dd)</t>
  </si>
  <si>
    <t>E/D Ratio (EDRAT)</t>
  </si>
  <si>
    <t>Current Expenditure</t>
  </si>
  <si>
    <t>Share for CET (bt)</t>
  </si>
  <si>
    <t>Export Duties (te)</t>
  </si>
  <si>
    <t>Supply of Composite Good (Qs)</t>
  </si>
  <si>
    <t>M/D Ratio (MDRAT)</t>
  </si>
  <si>
    <t>GDP at  market prices</t>
  </si>
  <si>
    <t xml:space="preserve">  Goods &amp; Services</t>
  </si>
  <si>
    <t>Rho for CET (rt)</t>
  </si>
  <si>
    <t>Indirect Taxes (ts)</t>
  </si>
  <si>
    <t>Demand of Composite Good (Qd)</t>
  </si>
  <si>
    <t>Nominal Flows</t>
  </si>
  <si>
    <t xml:space="preserve">  Private Consumption</t>
  </si>
  <si>
    <t xml:space="preserve">  Interest Payments</t>
  </si>
  <si>
    <t xml:space="preserve">Direct Taxes (ty) </t>
  </si>
  <si>
    <t>Revenue Equation (TAXEQ)</t>
  </si>
  <si>
    <t xml:space="preserve">  Public Consumption</t>
  </si>
  <si>
    <t xml:space="preserve">  Transfers &amp; Subsidies</t>
  </si>
  <si>
    <t>Scale for CES/Q (aq)</t>
  </si>
  <si>
    <t>Tax Revenue (TAX)</t>
  </si>
  <si>
    <t>Total Income Equation (INC)</t>
  </si>
  <si>
    <t xml:space="preserve">  Investment</t>
  </si>
  <si>
    <t>Capital Expenditure</t>
  </si>
  <si>
    <t>Share for CES/Q (bq)</t>
  </si>
  <si>
    <t>Savings rate (sy)</t>
  </si>
  <si>
    <t>Total Income (Y)</t>
  </si>
  <si>
    <t xml:space="preserve"> Savings Equation (SAV)</t>
  </si>
  <si>
    <t xml:space="preserve">  Exports</t>
  </si>
  <si>
    <t>Fiscal Balance</t>
  </si>
  <si>
    <t>Rho for CES/Q (rq)</t>
  </si>
  <si>
    <t>Govt. Consumption (G)</t>
  </si>
  <si>
    <t>Aggregate Savings (S)</t>
  </si>
  <si>
    <t>Consumption Function (CONS)</t>
  </si>
  <si>
    <t xml:space="preserve">  Imports</t>
  </si>
  <si>
    <t xml:space="preserve"> </t>
  </si>
  <si>
    <t>Govt. Transfers (tr)</t>
  </si>
  <si>
    <t>Consumption (Cn)</t>
  </si>
  <si>
    <t>Prices</t>
  </si>
  <si>
    <t>Foreign Grants (ft)</t>
  </si>
  <si>
    <t>Import Price Equation (PMEQ)</t>
  </si>
  <si>
    <t>Tax Revenue</t>
  </si>
  <si>
    <t>Balance of Payments</t>
  </si>
  <si>
    <t>Net Priv  Remittances (re)</t>
  </si>
  <si>
    <t>Import Price (Pm)</t>
  </si>
  <si>
    <t>Export Price Equation (PEEQ)</t>
  </si>
  <si>
    <t xml:space="preserve">  Sales &amp; Excise Tax</t>
  </si>
  <si>
    <t>Exports - Imports</t>
  </si>
  <si>
    <t>Foreign Saving (B)</t>
  </si>
  <si>
    <t>Export Price (Pe)</t>
  </si>
  <si>
    <t>Sales Price Equation (PTEQ)</t>
  </si>
  <si>
    <t xml:space="preserve">  Import Tariffs</t>
  </si>
  <si>
    <t>Net Profits &amp; Dividends</t>
  </si>
  <si>
    <t>Output (X)</t>
  </si>
  <si>
    <t>Sales Price (Pt)</t>
  </si>
  <si>
    <t>Output Price Equation (PXEQ)</t>
  </si>
  <si>
    <t xml:space="preserve">  Export Duties</t>
  </si>
  <si>
    <t>Interest Payments</t>
  </si>
  <si>
    <t>Price of Supply (Pq)</t>
  </si>
  <si>
    <t>Supply Price Equation (PQEQ)</t>
  </si>
  <si>
    <t xml:space="preserve">  Payroll Tax</t>
  </si>
  <si>
    <t>Net Private Transfers</t>
  </si>
  <si>
    <t>Price of Output (Px)</t>
  </si>
  <si>
    <t>Numeraire (REQ)</t>
  </si>
  <si>
    <t xml:space="preserve">  Personal Income Tax</t>
  </si>
  <si>
    <t>Net Official Transfers</t>
  </si>
  <si>
    <t>Price of Dom. Good (Pd)</t>
  </si>
  <si>
    <t>Equilibrium Conditions</t>
  </si>
  <si>
    <t xml:space="preserve">  Capital Income Tax</t>
  </si>
  <si>
    <t>Current Account Balance</t>
  </si>
  <si>
    <t>Exchange Rate (Er)</t>
  </si>
  <si>
    <t>Domestic Good Market (DEQ)</t>
  </si>
  <si>
    <t>Total</t>
  </si>
  <si>
    <t>Composite Good Market (QEQ)</t>
  </si>
  <si>
    <t>External Debt</t>
  </si>
  <si>
    <t>Investment (Z)</t>
  </si>
  <si>
    <t>Current Account  Balance (CABAL)</t>
  </si>
  <si>
    <t>Debt   Service Payments</t>
  </si>
  <si>
    <t>Government Savings (Sg)</t>
  </si>
  <si>
    <t>Government Budget (GBUD)</t>
  </si>
  <si>
    <t>Walras Law (Z-S)</t>
  </si>
  <si>
    <r>
      <t>Chapter 6 of</t>
    </r>
    <r>
      <rPr>
        <i/>
        <sz val="10"/>
        <rFont val="MS Sans Serif"/>
        <family val="2"/>
      </rPr>
      <t xml:space="preserve"> Applied methods in trade policy analysis: A  Handbook</t>
    </r>
    <r>
      <rPr>
        <sz val="10"/>
        <rFont val="MS Sans Serif"/>
        <family val="0"/>
      </rPr>
      <t>,</t>
    </r>
  </si>
  <si>
    <t>note:  use "solver", under the "Tools" menu.  Solver settings have been set.</t>
  </si>
  <si>
    <t>This workbook contains an Excel spreadsheet version of the 123 CGE model of</t>
  </si>
  <si>
    <t>J.F. Francois and K.A. Reinert, eds., Cambridge University Press.</t>
  </si>
  <si>
    <t>This version of the model should work with Excel 5.0/95 and Excel97.</t>
  </si>
  <si>
    <t>last modified:  June, 1998 (J.F. Francois).</t>
  </si>
  <si>
    <t>Consumption</t>
  </si>
  <si>
    <t>Aggregate Savings</t>
  </si>
  <si>
    <t>Benchmark</t>
  </si>
  <si>
    <t>Experiment</t>
  </si>
  <si>
    <t>Government Savings</t>
  </si>
  <si>
    <t>Exports</t>
  </si>
  <si>
    <t>Imports</t>
  </si>
  <si>
    <t>Macro Indicators</t>
  </si>
  <si>
    <t>(Relative to benchmark value added)</t>
  </si>
  <si>
    <t>Income</t>
  </si>
  <si>
    <t>% change</t>
  </si>
  <si>
    <t>from Devarajan-Go-Lewis-Robnson-Sinko (1997)</t>
  </si>
  <si>
    <t>The original model was written by Devarajan, Go, Lewis, Robinson, and Sinko.</t>
  </si>
  <si>
    <t>Devarajan-Go-Lewis-Robinson-Sinko (1997), as developed 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</si>
</sst>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62"/>
      <name val="MS Sans Serif"/>
      <family val="2"/>
    </font>
    <font>
      <b/>
      <sz val="10"/>
      <color indexed="10"/>
      <name val="Tms Rmn"/>
      <family val="0"/>
    </font>
    <font>
      <sz val="8"/>
      <name val="Arial"/>
      <family val="2"/>
    </font>
    <font>
      <sz val="9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Continuous"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centerContinuous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Continuous"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Continuous"/>
    </xf>
    <xf numFmtId="2" fontId="0" fillId="0" borderId="6" xfId="0" applyNumberFormat="1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2" fontId="0" fillId="0" borderId="7" xfId="0" applyNumberFormat="1" applyFont="1" applyBorder="1" applyAlignment="1">
      <alignment horizontal="centerContinuous"/>
    </xf>
    <xf numFmtId="2" fontId="0" fillId="0" borderId="4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2" fontId="0" fillId="0" borderId="0" xfId="0" applyNumberFormat="1" applyFont="1" applyBorder="1" applyAlignment="1" quotePrefix="1">
      <alignment horizontal="left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2" fontId="0" fillId="0" borderId="8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centerContinuous"/>
    </xf>
    <xf numFmtId="1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Macro Effects Summary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"/>
          <c:y val="0.25475"/>
          <c:w val="0.942"/>
          <c:h val="0.62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'Macro Results Summary'!$B$3</c:f>
              <c:strCache>
                <c:ptCount val="1"/>
                <c:pt idx="0">
                  <c:v>Benchmark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'Macro Results Summary'!$A$4:$A$6</c:f>
              <c:strCache/>
            </c:strRef>
          </c:cat>
          <c:val>
            <c:numRef>
              <c:f>'Macro Results Summary'!$B$4:$B$6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'Macro Results Summary'!$C$3</c:f>
              <c:strCache>
                <c:ptCount val="1"/>
                <c:pt idx="0">
                  <c:v>Experiment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'Macro Results Summary'!$A$4:$A$6</c:f>
              <c:strCache/>
            </c:strRef>
          </c:cat>
          <c:val>
            <c:numRef>
              <c:f>'Macro Results Summary'!$C$4:$C$6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9128788"/>
        <c:axId val="63729317"/>
      </c:bar3DChart>
      <c:catAx>
        <c:axId val="29128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3729317"/>
        <c:crosses val="autoZero"/>
        <c:auto val="1"/>
        <c:lblOffset val="100"/>
        <c:noMultiLvlLbl val="0"/>
      </c:catAx>
      <c:valAx>
        <c:axId val="63729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28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075"/>
          <c:y val="0.828"/>
          <c:w val="0.4725"/>
          <c:h val="0.09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10</xdr:row>
      <xdr:rowOff>57150</xdr:rowOff>
    </xdr:from>
    <xdr:to>
      <xdr:col>3</xdr:col>
      <xdr:colOff>66675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895350" y="1676400"/>
        <a:ext cx="33718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workbookViewId="0" topLeftCell="A1">
      <selection activeCell="A2" sqref="A2"/>
    </sheetView>
  </sheetViews>
  <sheetFormatPr defaultColWidth="9.140625" defaultRowHeight="12.75"/>
  <sheetData>
    <row r="1" spans="2:3" ht="15.75">
      <c r="B1" s="10"/>
      <c r="C1" s="10" t="s">
        <v>0</v>
      </c>
    </row>
    <row r="3" ht="12.75">
      <c r="A3" t="s">
        <v>114</v>
      </c>
    </row>
    <row r="4" ht="12.75">
      <c r="A4" s="60" t="s">
        <v>131</v>
      </c>
    </row>
    <row r="5" ht="12.75">
      <c r="A5" t="s">
        <v>112</v>
      </c>
    </row>
    <row r="6" ht="12.75">
      <c r="A6" t="s">
        <v>115</v>
      </c>
    </row>
    <row r="8" ht="12.75">
      <c r="A8" t="s">
        <v>116</v>
      </c>
    </row>
    <row r="10" ht="12.75">
      <c r="A10" t="s">
        <v>117</v>
      </c>
    </row>
    <row r="12" ht="12.75">
      <c r="A12" t="s">
        <v>130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" width="13.57421875" style="0" customWidth="1"/>
    <col min="4" max="4" width="12.28125" style="0" customWidth="1"/>
  </cols>
  <sheetData>
    <row r="1" ht="12.75">
      <c r="A1" s="61" t="s">
        <v>125</v>
      </c>
    </row>
    <row r="2" ht="12.75">
      <c r="A2" s="61" t="s">
        <v>126</v>
      </c>
    </row>
    <row r="3" spans="2:4" ht="12.75">
      <c r="B3" s="63" t="s">
        <v>120</v>
      </c>
      <c r="C3" s="63" t="s">
        <v>121</v>
      </c>
      <c r="D3" s="63" t="s">
        <v>128</v>
      </c>
    </row>
    <row r="4" spans="1:4" ht="12.75">
      <c r="A4" t="s">
        <v>127</v>
      </c>
      <c r="B4" s="62">
        <f>Y0</f>
        <v>1.1298083734223607</v>
      </c>
      <c r="C4" s="62">
        <f>Y</f>
        <v>1.128678348512342</v>
      </c>
      <c r="D4" s="62">
        <f aca="true" t="shared" si="0" ref="D4:D10">(C4/B4-1)*100</f>
        <v>-0.10001916578080694</v>
      </c>
    </row>
    <row r="5" spans="1:4" ht="12.75">
      <c r="A5" t="s">
        <v>118</v>
      </c>
      <c r="B5" s="62">
        <f>Cn0</f>
        <v>0.8288100517686923</v>
      </c>
      <c r="C5" s="62">
        <f>Cn</f>
        <v>0.8288101838338078</v>
      </c>
      <c r="D5" s="62">
        <f t="shared" si="0"/>
        <v>1.593430427604403E-05</v>
      </c>
    </row>
    <row r="6" spans="1:4" ht="12.75">
      <c r="A6" t="s">
        <v>119</v>
      </c>
      <c r="B6" s="62">
        <f>S0</f>
        <v>0.26602277836978827</v>
      </c>
      <c r="C6" s="62">
        <f>S</f>
        <v>0.2657567504629302</v>
      </c>
      <c r="D6" s="62">
        <f t="shared" si="0"/>
        <v>-0.10000192783803374</v>
      </c>
    </row>
    <row r="7" spans="1:4" ht="12.75">
      <c r="A7" t="s">
        <v>122</v>
      </c>
      <c r="B7" s="62">
        <f>Sg0</f>
        <v>-0.009904710281064641</v>
      </c>
      <c r="C7" s="62">
        <f>Sg</f>
        <v>-0.00989477392819632</v>
      </c>
      <c r="D7" s="62">
        <f t="shared" si="0"/>
        <v>-0.10031947009412345</v>
      </c>
    </row>
    <row r="8" spans="1:4" ht="12.75">
      <c r="A8" t="s">
        <v>72</v>
      </c>
      <c r="B8" s="62">
        <f>Tax0</f>
        <v>0.1990119928301724</v>
      </c>
      <c r="C8" s="62">
        <f>Tax</f>
        <v>0.19881295080396066</v>
      </c>
      <c r="D8" s="62">
        <f t="shared" si="0"/>
        <v>-0.1000150912420561</v>
      </c>
    </row>
    <row r="9" spans="1:4" ht="12.75">
      <c r="A9" t="s">
        <v>123</v>
      </c>
      <c r="B9" s="62">
        <f>E0</f>
        <v>0.327650033570069</v>
      </c>
      <c r="C9" s="62">
        <f>E</f>
        <v>0.32765014187715213</v>
      </c>
      <c r="D9" s="62">
        <f t="shared" si="0"/>
        <v>3.305572167100479E-05</v>
      </c>
    </row>
    <row r="10" spans="1:4" ht="12.75">
      <c r="A10" t="s">
        <v>124</v>
      </c>
      <c r="B10" s="64">
        <f>M0</f>
        <v>0.5029905079859807</v>
      </c>
      <c r="C10" s="64">
        <f>M</f>
        <v>0.5029906315363608</v>
      </c>
      <c r="D10" s="64">
        <f t="shared" si="0"/>
        <v>2.456316334775721E-05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0"/>
  <sheetViews>
    <sheetView showGridLines="0" workbookViewId="0" topLeftCell="C1">
      <selection activeCell="F23" sqref="F23"/>
    </sheetView>
  </sheetViews>
  <sheetFormatPr defaultColWidth="9.140625" defaultRowHeight="12.75"/>
  <cols>
    <col min="1" max="1" width="2.140625" style="2" customWidth="1"/>
    <col min="2" max="2" width="21.28125" style="2" customWidth="1"/>
    <col min="3" max="3" width="4.421875" style="2" customWidth="1"/>
    <col min="4" max="4" width="24.00390625" style="2" customWidth="1"/>
    <col min="5" max="5" width="9.57421875" style="2" customWidth="1"/>
    <col min="6" max="6" width="7.28125" style="2" customWidth="1"/>
    <col min="7" max="7" width="29.28125" style="2" customWidth="1"/>
    <col min="8" max="8" width="9.57421875" style="4" customWidth="1"/>
    <col min="9" max="9" width="7.28125" style="4" customWidth="1"/>
    <col min="10" max="10" width="8.8515625" style="4" customWidth="1"/>
    <col min="11" max="11" width="5.28125" style="5" customWidth="1"/>
    <col min="12" max="12" width="30.140625" style="2" customWidth="1"/>
    <col min="13" max="13" width="5.140625" style="2" customWidth="1"/>
    <col min="14" max="14" width="2.00390625" style="9" customWidth="1"/>
    <col min="15" max="15" width="21.7109375" style="2" customWidth="1"/>
    <col min="16" max="16" width="8.8515625" style="2" customWidth="1"/>
    <col min="17" max="17" width="8.7109375" style="2" customWidth="1"/>
    <col min="18" max="18" width="2.00390625" style="9" customWidth="1"/>
    <col min="19" max="19" width="21.7109375" style="2" customWidth="1"/>
    <col min="20" max="20" width="8.8515625" style="2" customWidth="1"/>
    <col min="21" max="21" width="8.7109375" style="2" customWidth="1"/>
    <col min="22" max="16384" width="9.140625" style="2" customWidth="1"/>
  </cols>
  <sheetData>
    <row r="1" spans="2:21" ht="15.75">
      <c r="B1" s="10" t="s">
        <v>0</v>
      </c>
      <c r="C1" s="1"/>
      <c r="D1" s="1"/>
      <c r="F1" s="3"/>
      <c r="N1" s="6"/>
      <c r="O1" s="6"/>
      <c r="P1" s="6"/>
      <c r="Q1" s="6"/>
      <c r="R1" s="6"/>
      <c r="S1" s="6"/>
      <c r="T1" s="6"/>
      <c r="U1" s="6"/>
    </row>
    <row r="2" spans="2:6" ht="12.75">
      <c r="B2" s="3" t="s">
        <v>129</v>
      </c>
      <c r="C2" s="3"/>
      <c r="D2" s="3"/>
      <c r="E2" s="7"/>
      <c r="F2" s="8"/>
    </row>
    <row r="3" spans="2:6" ht="12.75">
      <c r="B3" s="59" t="s">
        <v>113</v>
      </c>
      <c r="E3" s="3"/>
      <c r="F3" s="3"/>
    </row>
    <row r="4" spans="2:21" ht="14.25" customHeight="1">
      <c r="B4" s="18" t="s">
        <v>1</v>
      </c>
      <c r="C4" s="19"/>
      <c r="D4" s="18" t="s">
        <v>2</v>
      </c>
      <c r="E4" s="27" t="s">
        <v>3</v>
      </c>
      <c r="F4" s="28" t="s">
        <v>4</v>
      </c>
      <c r="G4" s="18" t="s">
        <v>5</v>
      </c>
      <c r="H4" s="35" t="s">
        <v>3</v>
      </c>
      <c r="I4" s="35" t="s">
        <v>4</v>
      </c>
      <c r="J4" s="36" t="s">
        <v>6</v>
      </c>
      <c r="K4" s="42" t="s">
        <v>7</v>
      </c>
      <c r="L4" s="43" t="s">
        <v>8</v>
      </c>
      <c r="M4" s="19"/>
      <c r="N4" s="54"/>
      <c r="O4" s="43" t="s">
        <v>9</v>
      </c>
      <c r="P4" s="55"/>
      <c r="Q4" s="56"/>
      <c r="R4" s="57"/>
      <c r="S4" s="58"/>
      <c r="T4" s="58"/>
      <c r="U4" s="19"/>
    </row>
    <row r="5" spans="2:21" ht="12.75">
      <c r="B5" s="11"/>
      <c r="C5" s="12"/>
      <c r="D5" s="11"/>
      <c r="E5" s="20"/>
      <c r="F5" s="13"/>
      <c r="G5" s="11"/>
      <c r="H5" s="22"/>
      <c r="I5" s="22"/>
      <c r="J5" s="23"/>
      <c r="K5" s="37"/>
      <c r="L5" s="38" t="s">
        <v>10</v>
      </c>
      <c r="M5" s="12"/>
      <c r="N5" s="44"/>
      <c r="O5" s="24"/>
      <c r="P5" s="20" t="s">
        <v>11</v>
      </c>
      <c r="Q5" s="20" t="s">
        <v>12</v>
      </c>
      <c r="R5" s="45"/>
      <c r="S5" s="24"/>
      <c r="T5" s="20" t="s">
        <v>11</v>
      </c>
      <c r="U5" s="13" t="s">
        <v>12</v>
      </c>
    </row>
    <row r="6" spans="2:21" ht="12.75">
      <c r="B6" s="11" t="s">
        <v>13</v>
      </c>
      <c r="C6" s="13">
        <v>0.6</v>
      </c>
      <c r="D6" s="11" t="s">
        <v>14</v>
      </c>
      <c r="E6" s="20">
        <f>Pm0/Er0/(1+tm0)</f>
        <v>0.8860076660257902</v>
      </c>
      <c r="F6" s="13">
        <f>wm0</f>
        <v>0.8860076660257902</v>
      </c>
      <c r="G6" s="11" t="s">
        <v>15</v>
      </c>
      <c r="H6" s="22">
        <f>Q14</f>
        <v>0.327650033570069</v>
      </c>
      <c r="I6" s="22">
        <v>0.32765014187715213</v>
      </c>
      <c r="J6" s="23">
        <f>E/E0</f>
        <v>1.0000003305572167</v>
      </c>
      <c r="K6" s="37">
        <v>1</v>
      </c>
      <c r="L6" s="24" t="s">
        <v>16</v>
      </c>
      <c r="M6" s="13">
        <f>at*(bt*E^(rt)+(1-bt)*Ds^(rt))^(1/rt)</f>
        <v>0.9999999322188717</v>
      </c>
      <c r="N6" s="44"/>
      <c r="O6" s="46" t="s">
        <v>17</v>
      </c>
      <c r="P6" s="47"/>
      <c r="Q6" s="47"/>
      <c r="R6" s="45">
        <v>3</v>
      </c>
      <c r="S6" s="46" t="s">
        <v>18</v>
      </c>
      <c r="T6" s="21"/>
      <c r="U6" s="48"/>
    </row>
    <row r="7" spans="2:21" ht="12.75">
      <c r="B7" s="11" t="s">
        <v>19</v>
      </c>
      <c r="C7" s="13">
        <v>0.6</v>
      </c>
      <c r="D7" s="11" t="s">
        <v>20</v>
      </c>
      <c r="E7" s="20">
        <f>Pe0*(1+te0)/Er0</f>
        <v>1.0106874964751</v>
      </c>
      <c r="F7" s="13">
        <f>we0</f>
        <v>1.0106874964751</v>
      </c>
      <c r="G7" s="11" t="s">
        <v>21</v>
      </c>
      <c r="H7" s="22">
        <f>Q15+Q19</f>
        <v>0.5029905079859807</v>
      </c>
      <c r="I7" s="22">
        <v>0.5029906315363608</v>
      </c>
      <c r="J7" s="23">
        <f>M/M0</f>
        <v>1.0000002456316335</v>
      </c>
      <c r="K7" s="37">
        <v>2</v>
      </c>
      <c r="L7" s="24" t="s">
        <v>22</v>
      </c>
      <c r="M7" s="13">
        <f>aq*(bq*M^(-rq)+(1-bq)*Dd^(-rq))^(-1/rq)</f>
        <v>1.1753404218779542</v>
      </c>
      <c r="N7" s="44">
        <v>1</v>
      </c>
      <c r="O7" s="49" t="s">
        <v>23</v>
      </c>
      <c r="P7" s="50">
        <v>324.694</v>
      </c>
      <c r="Q7" s="20">
        <f>P7/$P$7</f>
        <v>1</v>
      </c>
      <c r="R7" s="45"/>
      <c r="S7" s="24" t="s">
        <v>24</v>
      </c>
      <c r="T7" s="24">
        <v>76.179</v>
      </c>
      <c r="U7" s="13">
        <f aca="true" t="shared" si="0" ref="U7:U14">T7/$P$7</f>
        <v>0.2346178247827185</v>
      </c>
    </row>
    <row r="8" spans="2:21" ht="12.75">
      <c r="B8" s="11"/>
      <c r="C8" s="12"/>
      <c r="D8" s="14"/>
      <c r="E8" s="21"/>
      <c r="F8" s="15"/>
      <c r="G8" s="11" t="s">
        <v>25</v>
      </c>
      <c r="H8" s="22">
        <f>1-E0</f>
        <v>0.6723499664299311</v>
      </c>
      <c r="I8" s="22">
        <v>0.6723497903416552</v>
      </c>
      <c r="J8" s="23">
        <f>Ds/Ds0</f>
        <v>0.9999997381002682</v>
      </c>
      <c r="K8" s="37">
        <v>3</v>
      </c>
      <c r="L8" s="24" t="s">
        <v>26</v>
      </c>
      <c r="M8" s="13">
        <f>Cn+Z+G</f>
        <v>1.175340361279014</v>
      </c>
      <c r="N8" s="44"/>
      <c r="O8" s="24" t="s">
        <v>27</v>
      </c>
      <c r="P8" s="50">
        <v>163.32</v>
      </c>
      <c r="Q8" s="20">
        <f>P8/$P$7</f>
        <v>0.5029966676316778</v>
      </c>
      <c r="R8" s="45"/>
      <c r="S8" s="24" t="s">
        <v>28</v>
      </c>
      <c r="T8" s="24">
        <f>T7-P24</f>
        <v>8.021999999999991</v>
      </c>
      <c r="U8" s="13">
        <f t="shared" si="0"/>
        <v>0.02470633889138694</v>
      </c>
    </row>
    <row r="9" spans="2:21" ht="12.75">
      <c r="B9" s="11" t="s">
        <v>29</v>
      </c>
      <c r="C9" s="13">
        <f>X0/(bt*E0^(rt)+(1-bt)*Ds0^(rt))^(1/rt)</f>
        <v>2.2172787421187334</v>
      </c>
      <c r="D9" s="11" t="s">
        <v>30</v>
      </c>
      <c r="E9" s="20">
        <f>P19/P15</f>
        <v>0.12865840595434724</v>
      </c>
      <c r="F9" s="13">
        <f>tm0</f>
        <v>0.12865840595434724</v>
      </c>
      <c r="G9" s="11" t="s">
        <v>31</v>
      </c>
      <c r="H9" s="22">
        <f>Ds0</f>
        <v>0.6723499664299311</v>
      </c>
      <c r="I9" s="22">
        <v>0.6723497903416552</v>
      </c>
      <c r="J9" s="23">
        <f>Dd/Dd0</f>
        <v>0.9999997381002682</v>
      </c>
      <c r="K9" s="37">
        <v>4</v>
      </c>
      <c r="L9" s="24" t="s">
        <v>32</v>
      </c>
      <c r="M9" s="13">
        <f>((Pe/Pd)/(bt/(1-bt)))^(1/(rt-1))</f>
        <v>0.4873207755859861</v>
      </c>
      <c r="N9" s="44"/>
      <c r="O9" s="24"/>
      <c r="P9" s="50"/>
      <c r="Q9" s="20"/>
      <c r="R9" s="45"/>
      <c r="S9" s="24" t="s">
        <v>33</v>
      </c>
      <c r="T9" s="24">
        <f>SUM(T10:T12)</f>
        <v>83.756</v>
      </c>
      <c r="U9" s="13">
        <f t="shared" si="0"/>
        <v>0.257953642506483</v>
      </c>
    </row>
    <row r="10" spans="2:21" ht="12.75">
      <c r="B10" s="11" t="s">
        <v>34</v>
      </c>
      <c r="C10" s="13">
        <f>1/(1+(Pd0/Pe0)*(E0/Ds0)^(rt-1))</f>
        <v>0.7681785744891902</v>
      </c>
      <c r="D10" s="11" t="s">
        <v>35</v>
      </c>
      <c r="E10" s="20">
        <f>P20/P14</f>
        <v>0.010687496475100108</v>
      </c>
      <c r="F10" s="13">
        <f>te0</f>
        <v>0.010687496475100108</v>
      </c>
      <c r="G10" s="11" t="s">
        <v>36</v>
      </c>
      <c r="H10" s="22">
        <f>M0+Dd0</f>
        <v>1.1753404744159117</v>
      </c>
      <c r="I10" s="22">
        <v>1.175340361279014</v>
      </c>
      <c r="J10" s="23">
        <f>Qs/Qs0</f>
        <v>0.9999999037411711</v>
      </c>
      <c r="K10" s="37">
        <v>5</v>
      </c>
      <c r="L10" s="24" t="s">
        <v>37</v>
      </c>
      <c r="M10" s="13">
        <f>((Pd/Pm)*(bq/(1-bq)))^(1/(1+rq))</f>
        <v>0.7481080095365796</v>
      </c>
      <c r="N10" s="44"/>
      <c r="O10" s="24" t="s">
        <v>38</v>
      </c>
      <c r="P10" s="50">
        <v>375.339</v>
      </c>
      <c r="Q10" s="20">
        <f aca="true" t="shared" si="1" ref="Q10:Q15">P10/$P$7</f>
        <v>1.1559776281668277</v>
      </c>
      <c r="R10" s="45"/>
      <c r="S10" s="24" t="s">
        <v>39</v>
      </c>
      <c r="T10" s="24">
        <v>35.583</v>
      </c>
      <c r="U10" s="13">
        <f t="shared" si="0"/>
        <v>0.10958933642136903</v>
      </c>
    </row>
    <row r="11" spans="2:21" ht="12.75">
      <c r="B11" s="11" t="s">
        <v>40</v>
      </c>
      <c r="C11" s="13">
        <f>1/st+1</f>
        <v>2.666666666666667</v>
      </c>
      <c r="D11" s="11" t="s">
        <v>41</v>
      </c>
      <c r="E11" s="20">
        <f>Q18/Qs0</f>
        <v>0.0839224790763732</v>
      </c>
      <c r="F11" s="13">
        <f>ts0</f>
        <v>0.0839224790763732</v>
      </c>
      <c r="G11" s="11" t="s">
        <v>42</v>
      </c>
      <c r="H11" s="22">
        <f>Qs0</f>
        <v>1.1753404744159117</v>
      </c>
      <c r="I11" s="22">
        <v>1.175340361279014</v>
      </c>
      <c r="J11" s="23">
        <f>Qd/Qd0</f>
        <v>0.9999999037411711</v>
      </c>
      <c r="K11" s="39"/>
      <c r="L11" s="40" t="s">
        <v>43</v>
      </c>
      <c r="M11" s="15"/>
      <c r="N11" s="44"/>
      <c r="O11" s="24" t="s">
        <v>44</v>
      </c>
      <c r="P11" s="50">
        <v>291.694</v>
      </c>
      <c r="Q11" s="20">
        <f t="shared" si="1"/>
        <v>0.8983658459965382</v>
      </c>
      <c r="R11" s="45"/>
      <c r="S11" s="24" t="s">
        <v>45</v>
      </c>
      <c r="T11" s="24">
        <v>22.073</v>
      </c>
      <c r="U11" s="13">
        <f t="shared" si="0"/>
        <v>0.06798092973692153</v>
      </c>
    </row>
    <row r="12" spans="2:21" ht="12.75">
      <c r="B12" s="11"/>
      <c r="C12" s="13"/>
      <c r="D12" s="11" t="s">
        <v>46</v>
      </c>
      <c r="E12" s="22">
        <f>SUM(Q21,Q23)/Y0</f>
        <v>0.03499326685603066</v>
      </c>
      <c r="F12" s="13">
        <f>ty0</f>
        <v>0.03499326685603066</v>
      </c>
      <c r="G12" s="11"/>
      <c r="H12" s="22"/>
      <c r="I12" s="22"/>
      <c r="J12" s="23"/>
      <c r="K12" s="39">
        <v>6</v>
      </c>
      <c r="L12" s="21" t="s">
        <v>47</v>
      </c>
      <c r="M12" s="13">
        <f>tm*wm*Er*M+te*Pe*E+ts*Pq*Qd+ty*Y</f>
        <v>0.19881295292002824</v>
      </c>
      <c r="N12" s="44"/>
      <c r="O12" s="24" t="s">
        <v>48</v>
      </c>
      <c r="P12" s="50">
        <v>35.583</v>
      </c>
      <c r="Q12" s="20">
        <f t="shared" si="1"/>
        <v>0.10958933642136903</v>
      </c>
      <c r="R12" s="45"/>
      <c r="S12" s="24" t="s">
        <v>49</v>
      </c>
      <c r="T12" s="24">
        <v>26.1</v>
      </c>
      <c r="U12" s="13">
        <f t="shared" si="0"/>
        <v>0.08038337634819245</v>
      </c>
    </row>
    <row r="13" spans="2:21" ht="12.75">
      <c r="B13" s="11" t="s">
        <v>50</v>
      </c>
      <c r="C13" s="13">
        <f>Qs0/(bq*M0^(-rq)+(1-bq)*Dd0^(-rq))^(-1/rq)</f>
        <v>1.9658612224473788</v>
      </c>
      <c r="D13" s="11"/>
      <c r="E13" s="22"/>
      <c r="F13" s="13"/>
      <c r="G13" s="11" t="s">
        <v>51</v>
      </c>
      <c r="H13" s="22">
        <f>tm0*wm0*M0*Er0+te0*Pe0*E0+ts0*Pq0*Qd0+ty0*Y0</f>
        <v>0.1990119928301724</v>
      </c>
      <c r="I13" s="22">
        <v>0.19881295080396066</v>
      </c>
      <c r="J13" s="23">
        <f>Tax/Tax0</f>
        <v>0.9989998490875794</v>
      </c>
      <c r="K13" s="37">
        <v>7</v>
      </c>
      <c r="L13" s="24" t="s">
        <v>52</v>
      </c>
      <c r="M13" s="13">
        <f>Px*X+tr*Pq+re*Er</f>
        <v>1.1286783485145935</v>
      </c>
      <c r="N13" s="44"/>
      <c r="O13" s="24" t="s">
        <v>53</v>
      </c>
      <c r="P13" s="50">
        <v>86.376</v>
      </c>
      <c r="Q13" s="20">
        <f t="shared" si="1"/>
        <v>0.26602277836978816</v>
      </c>
      <c r="R13" s="45"/>
      <c r="S13" s="24" t="s">
        <v>54</v>
      </c>
      <c r="T13" s="24">
        <v>35.771</v>
      </c>
      <c r="U13" s="13">
        <f t="shared" si="0"/>
        <v>0.11016834311690392</v>
      </c>
    </row>
    <row r="14" spans="2:21" ht="12.75">
      <c r="B14" s="11" t="s">
        <v>55</v>
      </c>
      <c r="C14" s="13">
        <f>((Pm0/Pd0)*(M0/Dd0)^(1+rq))/(1+(Pm0/Pd0)*(M0/Dd0)^(1+rq))</f>
        <v>0.3813836463778003</v>
      </c>
      <c r="D14" s="11" t="s">
        <v>56</v>
      </c>
      <c r="E14" s="20">
        <f>(Y0-Cn0*Pq0*(1+ts0)-ty*Y0)/Y0</f>
        <v>0.16985786796495497</v>
      </c>
      <c r="F14" s="13">
        <f>sy0</f>
        <v>0.16985786796495497</v>
      </c>
      <c r="G14" s="11" t="s">
        <v>57</v>
      </c>
      <c r="H14" s="22">
        <f>Px0*X0+tr0*Pq0+re0*Er0</f>
        <v>1.1298083734223607</v>
      </c>
      <c r="I14" s="22">
        <v>1.128678348512342</v>
      </c>
      <c r="J14" s="23">
        <f>Y/Y0</f>
        <v>0.9989998083421919</v>
      </c>
      <c r="K14" s="37">
        <v>8</v>
      </c>
      <c r="L14" s="24" t="s">
        <v>58</v>
      </c>
      <c r="M14" s="13">
        <f>sy*Y+Er*B+Sg</f>
        <v>0.2657567504535611</v>
      </c>
      <c r="N14" s="44"/>
      <c r="O14" s="24" t="s">
        <v>59</v>
      </c>
      <c r="P14" s="50">
        <v>106.386</v>
      </c>
      <c r="Q14" s="20">
        <f t="shared" si="1"/>
        <v>0.327650033570069</v>
      </c>
      <c r="R14" s="45"/>
      <c r="S14" s="24" t="s">
        <v>60</v>
      </c>
      <c r="T14" s="24">
        <f>T7-T9-T13</f>
        <v>-43.348</v>
      </c>
      <c r="U14" s="13">
        <f t="shared" si="0"/>
        <v>-0.13350416084066843</v>
      </c>
    </row>
    <row r="15" spans="2:21" ht="12.75">
      <c r="B15" s="11" t="s">
        <v>61</v>
      </c>
      <c r="C15" s="13">
        <f>1/sq-1</f>
        <v>0.6666666666666667</v>
      </c>
      <c r="D15" s="11" t="s">
        <v>62</v>
      </c>
      <c r="E15" s="20">
        <f>Q12/(1+ts0)/Pq0</f>
        <v>0.10110440417727268</v>
      </c>
      <c r="F15" s="13">
        <f>G0</f>
        <v>0.10110440417727268</v>
      </c>
      <c r="G15" s="11" t="s">
        <v>63</v>
      </c>
      <c r="H15" s="22">
        <f>sy0*Y0+Er0*B0+Sg0</f>
        <v>0.26602277836978827</v>
      </c>
      <c r="I15" s="22">
        <v>0.2657567504629302</v>
      </c>
      <c r="J15" s="23">
        <f>S/S0</f>
        <v>0.9989999807216197</v>
      </c>
      <c r="K15" s="37">
        <v>9</v>
      </c>
      <c r="L15" s="24" t="s">
        <v>64</v>
      </c>
      <c r="M15" s="13">
        <f>Y*(1-ty-sy)/Pt</f>
        <v>0.8288101121127335</v>
      </c>
      <c r="N15" s="44"/>
      <c r="O15" s="24" t="s">
        <v>65</v>
      </c>
      <c r="P15" s="50">
        <v>144.701</v>
      </c>
      <c r="Q15" s="20">
        <f t="shared" si="1"/>
        <v>0.44565344601378526</v>
      </c>
      <c r="R15" s="45"/>
      <c r="S15" s="24"/>
      <c r="T15" s="24"/>
      <c r="U15" s="13" t="s">
        <v>66</v>
      </c>
    </row>
    <row r="16" spans="2:21" ht="12.75">
      <c r="B16" s="14"/>
      <c r="C16" s="15"/>
      <c r="D16" s="11" t="s">
        <v>67</v>
      </c>
      <c r="E16" s="20">
        <f>(U11+U12-U8)/Pq0</f>
        <v>0.12365796719372703</v>
      </c>
      <c r="F16" s="13">
        <f>tr0</f>
        <v>0.12365796719372703</v>
      </c>
      <c r="G16" s="11" t="s">
        <v>68</v>
      </c>
      <c r="H16" s="22">
        <f>Q11/Pt0</f>
        <v>0.8288100517686923</v>
      </c>
      <c r="I16" s="22">
        <v>0.8288101838338078</v>
      </c>
      <c r="J16" s="23">
        <f>Cn/Cn0</f>
        <v>1.0000001593430428</v>
      </c>
      <c r="K16" s="37"/>
      <c r="L16" s="38" t="s">
        <v>69</v>
      </c>
      <c r="M16" s="13"/>
      <c r="N16" s="44"/>
      <c r="O16" s="24"/>
      <c r="P16" s="50"/>
      <c r="Q16" s="20"/>
      <c r="R16" s="45"/>
      <c r="S16" s="24"/>
      <c r="T16" s="24"/>
      <c r="U16" s="13"/>
    </row>
    <row r="17" spans="2:21" ht="12.75">
      <c r="B17" s="14"/>
      <c r="C17" s="15"/>
      <c r="D17" s="11" t="s">
        <v>70</v>
      </c>
      <c r="E17" s="20">
        <f>U22/Er0</f>
        <v>0.024330600503859018</v>
      </c>
      <c r="F17" s="13">
        <f>ft0</f>
        <v>0.024330600503859018</v>
      </c>
      <c r="G17" s="11"/>
      <c r="H17" s="22"/>
      <c r="I17" s="22"/>
      <c r="J17" s="23"/>
      <c r="K17" s="37">
        <v>10</v>
      </c>
      <c r="L17" s="24" t="s">
        <v>71</v>
      </c>
      <c r="M17" s="13">
        <f>Er*wm*(1+tm)</f>
        <v>0.9990000000000001</v>
      </c>
      <c r="N17" s="44"/>
      <c r="O17" s="46" t="s">
        <v>72</v>
      </c>
      <c r="P17" s="50"/>
      <c r="Q17" s="20"/>
      <c r="R17" s="45">
        <v>4</v>
      </c>
      <c r="S17" s="51" t="s">
        <v>73</v>
      </c>
      <c r="T17" s="24"/>
      <c r="U17" s="13" t="s">
        <v>66</v>
      </c>
    </row>
    <row r="18" spans="2:21" ht="12.75">
      <c r="B18" s="11"/>
      <c r="C18" s="12"/>
      <c r="D18" s="11" t="s">
        <v>74</v>
      </c>
      <c r="E18" s="20">
        <f>SUM(U19:U21)/Er0</f>
        <v>0.006150406228633724</v>
      </c>
      <c r="F18" s="13">
        <f>re0</f>
        <v>0.006150406228633724</v>
      </c>
      <c r="G18" s="11" t="s">
        <v>75</v>
      </c>
      <c r="H18" s="20">
        <v>1</v>
      </c>
      <c r="I18" s="20">
        <v>0.9990000000000001</v>
      </c>
      <c r="J18" s="23">
        <f>Pm/Pm0</f>
        <v>0.9990000000000001</v>
      </c>
      <c r="K18" s="39">
        <v>11</v>
      </c>
      <c r="L18" s="24" t="s">
        <v>76</v>
      </c>
      <c r="M18" s="13">
        <f>Er*we/(1+te)</f>
        <v>0.9990000000000001</v>
      </c>
      <c r="N18" s="44">
        <v>2</v>
      </c>
      <c r="O18" s="24" t="s">
        <v>77</v>
      </c>
      <c r="P18" s="50">
        <v>32.027</v>
      </c>
      <c r="Q18" s="20">
        <f aca="true" t="shared" si="2" ref="Q18:Q23">P18/$P$7</f>
        <v>0.09863748637178389</v>
      </c>
      <c r="R18" s="45"/>
      <c r="S18" s="24" t="s">
        <v>78</v>
      </c>
      <c r="T18" s="24">
        <f>P14-P15</f>
        <v>-38.315</v>
      </c>
      <c r="U18" s="13">
        <f aca="true" t="shared" si="3" ref="U18:U23">T18/$P$7</f>
        <v>-0.11800341244371622</v>
      </c>
    </row>
    <row r="19" spans="2:21" ht="12.75">
      <c r="B19" s="11"/>
      <c r="C19" s="12"/>
      <c r="D19" s="11" t="s">
        <v>79</v>
      </c>
      <c r="E19" s="20">
        <f>(wm0*M0-we0*E0-ft0-re0)/Er0</f>
        <v>0.08402064713237703</v>
      </c>
      <c r="F19" s="13">
        <f>B0</f>
        <v>0.08402064713237703</v>
      </c>
      <c r="G19" s="11" t="s">
        <v>80</v>
      </c>
      <c r="H19" s="20">
        <v>1</v>
      </c>
      <c r="I19" s="20">
        <v>0.9990000000000001</v>
      </c>
      <c r="J19" s="23">
        <f>Pe/Pe0</f>
        <v>0.9990000000000001</v>
      </c>
      <c r="K19" s="37">
        <v>12</v>
      </c>
      <c r="L19" s="24" t="s">
        <v>81</v>
      </c>
      <c r="M19" s="13">
        <f>Pq*(1+ts)</f>
        <v>1.0828382699961665</v>
      </c>
      <c r="N19" s="44"/>
      <c r="O19" s="24" t="s">
        <v>82</v>
      </c>
      <c r="P19" s="50">
        <v>18.617</v>
      </c>
      <c r="Q19" s="20">
        <f t="shared" si="2"/>
        <v>0.05733706197219536</v>
      </c>
      <c r="R19" s="45"/>
      <c r="S19" s="24" t="s">
        <v>83</v>
      </c>
      <c r="T19" s="24">
        <v>-0.783</v>
      </c>
      <c r="U19" s="13">
        <f t="shared" si="3"/>
        <v>-0.0024115012904457737</v>
      </c>
    </row>
    <row r="20" spans="2:21" ht="12.75">
      <c r="B20" s="11"/>
      <c r="C20" s="12"/>
      <c r="D20" s="11" t="s">
        <v>84</v>
      </c>
      <c r="E20" s="22">
        <v>1</v>
      </c>
      <c r="F20" s="23">
        <f>X0</f>
        <v>1</v>
      </c>
      <c r="G20" s="11" t="s">
        <v>85</v>
      </c>
      <c r="H20" s="22">
        <f>Pq0*(1+ts0)</f>
        <v>1.0839224790763733</v>
      </c>
      <c r="I20" s="20">
        <v>1.0828382700157508</v>
      </c>
      <c r="J20" s="23">
        <f>Pt/Pt0</f>
        <v>0.9989997356069723</v>
      </c>
      <c r="K20" s="37">
        <v>13</v>
      </c>
      <c r="L20" s="24" t="s">
        <v>86</v>
      </c>
      <c r="M20" s="13">
        <f>(Pe*E+Pd*Ds)/X</f>
        <v>0.9989996810413448</v>
      </c>
      <c r="N20" s="44"/>
      <c r="O20" s="24" t="s">
        <v>87</v>
      </c>
      <c r="P20" s="50">
        <v>1.137</v>
      </c>
      <c r="Q20" s="20">
        <f t="shared" si="2"/>
        <v>0.0035017585788465447</v>
      </c>
      <c r="R20" s="45"/>
      <c r="S20" s="24" t="s">
        <v>88</v>
      </c>
      <c r="T20" s="24">
        <v>-8.82</v>
      </c>
      <c r="U20" s="13">
        <f t="shared" si="3"/>
        <v>-0.027164037524561587</v>
      </c>
    </row>
    <row r="21" spans="2:21" ht="12.75">
      <c r="B21" s="11"/>
      <c r="C21" s="12"/>
      <c r="D21" s="14"/>
      <c r="E21" s="21"/>
      <c r="F21" s="15"/>
      <c r="G21" s="11" t="s">
        <v>89</v>
      </c>
      <c r="H21" s="22">
        <v>1</v>
      </c>
      <c r="I21" s="22">
        <v>0.9989997355889043</v>
      </c>
      <c r="J21" s="23">
        <f>Pq/Pq0</f>
        <v>0.9989997355889043</v>
      </c>
      <c r="K21" s="37">
        <v>14</v>
      </c>
      <c r="L21" s="24" t="s">
        <v>90</v>
      </c>
      <c r="M21" s="13">
        <f>(Pm*M+Pd*Dd)/Qs</f>
        <v>0.9989998377433066</v>
      </c>
      <c r="N21" s="44"/>
      <c r="O21" s="24" t="s">
        <v>91</v>
      </c>
      <c r="P21" s="50">
        <v>0</v>
      </c>
      <c r="Q21" s="20">
        <f t="shared" si="2"/>
        <v>0</v>
      </c>
      <c r="R21" s="45"/>
      <c r="S21" s="24" t="s">
        <v>92</v>
      </c>
      <c r="T21" s="24">
        <v>11.6</v>
      </c>
      <c r="U21" s="13">
        <f t="shared" si="3"/>
        <v>0.035725945043641086</v>
      </c>
    </row>
    <row r="22" spans="2:21" ht="12.75">
      <c r="B22" s="11"/>
      <c r="C22" s="12"/>
      <c r="D22" s="11"/>
      <c r="E22" s="24"/>
      <c r="F22" s="12"/>
      <c r="G22" s="11" t="s">
        <v>93</v>
      </c>
      <c r="H22" s="22">
        <v>1</v>
      </c>
      <c r="I22" s="22">
        <v>0.9989998161621936</v>
      </c>
      <c r="J22" s="23">
        <f>Px/Px0</f>
        <v>0.9989998161621936</v>
      </c>
      <c r="K22" s="37">
        <v>15</v>
      </c>
      <c r="L22" s="24" t="s">
        <v>94</v>
      </c>
      <c r="M22" s="13">
        <f>1</f>
        <v>1</v>
      </c>
      <c r="N22" s="44"/>
      <c r="O22" s="24" t="s">
        <v>95</v>
      </c>
      <c r="P22" s="50">
        <v>3.539</v>
      </c>
      <c r="Q22" s="20">
        <f t="shared" si="2"/>
        <v>0.010899493061159123</v>
      </c>
      <c r="R22" s="45"/>
      <c r="S22" s="24" t="s">
        <v>96</v>
      </c>
      <c r="T22" s="24">
        <v>7.9</v>
      </c>
      <c r="U22" s="13">
        <f t="shared" si="3"/>
        <v>0.024330600503859018</v>
      </c>
    </row>
    <row r="23" spans="2:21" ht="12.75">
      <c r="B23" s="11"/>
      <c r="C23" s="12"/>
      <c r="D23" s="11"/>
      <c r="E23" s="25" t="s">
        <v>66</v>
      </c>
      <c r="F23" s="12"/>
      <c r="G23" s="11" t="s">
        <v>97</v>
      </c>
      <c r="H23" s="22">
        <v>1</v>
      </c>
      <c r="I23" s="22">
        <v>0.998999626317659</v>
      </c>
      <c r="J23" s="23">
        <f>Pd/Pd0</f>
        <v>0.998999626317659</v>
      </c>
      <c r="K23" s="37"/>
      <c r="L23" s="38" t="s">
        <v>98</v>
      </c>
      <c r="M23" s="13"/>
      <c r="N23" s="44"/>
      <c r="O23" s="24" t="s">
        <v>99</v>
      </c>
      <c r="P23" s="50">
        <v>12.837</v>
      </c>
      <c r="Q23" s="20">
        <f t="shared" si="2"/>
        <v>0.03953568590734661</v>
      </c>
      <c r="R23" s="45"/>
      <c r="S23" s="24" t="s">
        <v>100</v>
      </c>
      <c r="T23" s="24">
        <v>-28.418</v>
      </c>
      <c r="U23" s="13">
        <f t="shared" si="3"/>
        <v>-0.08752240571122348</v>
      </c>
    </row>
    <row r="24" spans="2:21" ht="12.75">
      <c r="B24" s="11"/>
      <c r="C24" s="12"/>
      <c r="D24" s="11"/>
      <c r="E24" s="24"/>
      <c r="F24" s="12"/>
      <c r="G24" s="11" t="s">
        <v>101</v>
      </c>
      <c r="H24" s="20">
        <v>1</v>
      </c>
      <c r="I24" s="20">
        <v>0.9990000000000001</v>
      </c>
      <c r="J24" s="23">
        <f>Er/Er0</f>
        <v>0.9990000000000001</v>
      </c>
      <c r="K24" s="37">
        <v>16</v>
      </c>
      <c r="L24" s="24" t="s">
        <v>102</v>
      </c>
      <c r="M24" s="13">
        <f>Dd-Ds</f>
        <v>0</v>
      </c>
      <c r="N24" s="44"/>
      <c r="O24" s="24" t="s">
        <v>103</v>
      </c>
      <c r="P24" s="24">
        <f>SUM(P18:P23)</f>
        <v>68.15700000000001</v>
      </c>
      <c r="Q24" s="20">
        <f>SUM(Q18:Q23)</f>
        <v>0.20991148589133152</v>
      </c>
      <c r="R24" s="45"/>
      <c r="S24" s="24"/>
      <c r="T24" s="24"/>
      <c r="U24" s="12"/>
    </row>
    <row r="25" spans="2:21" ht="12.75">
      <c r="B25" s="11"/>
      <c r="C25" s="12"/>
      <c r="D25" s="11"/>
      <c r="E25" s="24"/>
      <c r="F25" s="12"/>
      <c r="G25" s="29"/>
      <c r="H25" s="30"/>
      <c r="I25" s="30"/>
      <c r="J25" s="31"/>
      <c r="K25" s="37">
        <v>17</v>
      </c>
      <c r="L25" s="24" t="s">
        <v>104</v>
      </c>
      <c r="M25" s="13">
        <f>Qd-Qs</f>
        <v>0</v>
      </c>
      <c r="N25" s="44"/>
      <c r="O25" s="24"/>
      <c r="P25" s="24" t="s">
        <v>66</v>
      </c>
      <c r="Q25" s="24"/>
      <c r="R25" s="45"/>
      <c r="S25" s="24" t="s">
        <v>105</v>
      </c>
      <c r="T25" s="24">
        <v>260.5</v>
      </c>
      <c r="U25" s="13">
        <f>T25/$P$7</f>
        <v>0.8022938520576296</v>
      </c>
    </row>
    <row r="26" spans="2:21" ht="12.75">
      <c r="B26" s="11"/>
      <c r="C26" s="12"/>
      <c r="D26" s="11"/>
      <c r="E26" s="24"/>
      <c r="F26" s="12"/>
      <c r="G26" s="11" t="s">
        <v>106</v>
      </c>
      <c r="H26" s="22">
        <f>Q13/Pt0</f>
        <v>0.24542601846994647</v>
      </c>
      <c r="I26" s="22">
        <v>0.24542577326793372</v>
      </c>
      <c r="J26" s="23">
        <f>Z/Z0</f>
        <v>0.999999000912722</v>
      </c>
      <c r="K26" s="37">
        <v>18</v>
      </c>
      <c r="L26" s="24" t="s">
        <v>107</v>
      </c>
      <c r="M26" s="13">
        <f>wm*M-we*E-ft-re</f>
        <v>0.08402064713434634</v>
      </c>
      <c r="N26" s="44"/>
      <c r="O26" s="24"/>
      <c r="P26" s="24" t="s">
        <v>66</v>
      </c>
      <c r="Q26" s="24"/>
      <c r="R26" s="45"/>
      <c r="S26" s="24" t="s">
        <v>108</v>
      </c>
      <c r="T26" s="24">
        <v>20.21</v>
      </c>
      <c r="U26" s="13">
        <f>T26/$P$7</f>
        <v>0.06224321976999883</v>
      </c>
    </row>
    <row r="27" spans="2:21" ht="12.75">
      <c r="B27" s="11"/>
      <c r="C27" s="12"/>
      <c r="D27" s="11"/>
      <c r="E27" s="24"/>
      <c r="F27" s="12"/>
      <c r="G27" s="11" t="s">
        <v>109</v>
      </c>
      <c r="H27" s="22">
        <f>Tax0-G0*Pt0-tr0*Pq0+ft0*Er0</f>
        <v>-0.009904710281064641</v>
      </c>
      <c r="I27" s="22">
        <v>-0.00989477392819632</v>
      </c>
      <c r="J27" s="23">
        <f>Sg/Sg0</f>
        <v>0.9989968052990588</v>
      </c>
      <c r="K27" s="37">
        <v>19</v>
      </c>
      <c r="L27" s="24" t="s">
        <v>110</v>
      </c>
      <c r="M27" s="13">
        <f>Tax-G*Pt-tr*Pq+ft*Er</f>
        <v>-0.009894773932970072</v>
      </c>
      <c r="N27" s="44"/>
      <c r="O27" s="24"/>
      <c r="P27" s="24"/>
      <c r="Q27" s="24"/>
      <c r="R27" s="45"/>
      <c r="S27" s="24"/>
      <c r="T27" s="24"/>
      <c r="U27" s="12"/>
    </row>
    <row r="28" spans="2:21" ht="12.75">
      <c r="B28" s="16"/>
      <c r="C28" s="17"/>
      <c r="D28" s="16"/>
      <c r="E28" s="26"/>
      <c r="F28" s="17"/>
      <c r="G28" s="32" t="s">
        <v>111</v>
      </c>
      <c r="H28" s="33">
        <f>Z0*Pt0-S0</f>
        <v>0</v>
      </c>
      <c r="I28" s="33">
        <f>Z*Pt-S</f>
        <v>-3.3072020294566684E-07</v>
      </c>
      <c r="J28" s="34"/>
      <c r="K28" s="41"/>
      <c r="L28" s="26"/>
      <c r="M28" s="17"/>
      <c r="N28" s="52"/>
      <c r="O28" s="26"/>
      <c r="P28" s="26"/>
      <c r="Q28" s="26"/>
      <c r="R28" s="53"/>
      <c r="S28" s="26"/>
      <c r="T28" s="26"/>
      <c r="U28" s="17"/>
    </row>
    <row r="29" spans="12:13" ht="12.75">
      <c r="L29" s="6"/>
      <c r="M29" s="6"/>
    </row>
    <row r="30" spans="12:13" ht="12.75">
      <c r="L30" s="6"/>
      <c r="M30" s="6"/>
    </row>
  </sheetData>
  <printOptions headings="1" horizontalCentered="1" verticalCentered="1"/>
  <pageMargins left="0.5" right="0.5" top="1" bottom="1" header="0.5" footer="0.5"/>
  <pageSetup fitToHeight="1" fitToWidth="1" orientation="landscape" r:id="rId1"/>
  <headerFooter alignWithMargins="0">
    <oddHeader>&amp;C&amp;"MS Sans Serif,Bold"&amp;12Table 5:  List of Equations in the Excel-Based 1-2-3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1-2-3 Model of Sri Lanka</dc:title>
  <dc:subject>simple economic model</dc:subject>
  <dc:creator>Delfin S. Go, the World Bank</dc:creator>
  <cp:keywords>1-2-3 economic model</cp:keywords>
  <dc:description>excel file for Devarajan-Go-Lewis-Robinson-Sinko (1994)</dc:description>
  <cp:lastModifiedBy>Joseph F Francois</cp:lastModifiedBy>
  <dcterms:created xsi:type="dcterms:W3CDTF">1998-07-01T22:22:56Z</dcterms:created>
  <cp:category/>
  <cp:version/>
  <cp:contentType/>
  <cp:contentStatus/>
</cp:coreProperties>
</file>